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7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DEVANS/Downloads/"/>
    </mc:Choice>
  </mc:AlternateContent>
  <xr:revisionPtr revIDLastSave="0" documentId="8_{C32426D4-D24A-9E40-99E2-DA0514C3DB2A}" xr6:coauthVersionLast="34" xr6:coauthVersionMax="34" xr10:uidLastSave="{00000000-0000-0000-0000-000000000000}"/>
  <bookViews>
    <workbookView xWindow="100" yWindow="20060" windowWidth="15480" windowHeight="8740"/>
  </bookViews>
  <sheets>
    <sheet name="Planned Places Oct14" sheetId="1" r:id="rId1"/>
  </sheets>
  <definedNames>
    <definedName name="_xlnm._FilterDatabase" localSheetId="0" hidden="1">'Planned Places Oct14'!$A$4:$BR$35</definedName>
    <definedName name="_xlnm.Print_Area" localSheetId="0">'Planned Places Oct14'!$B$1:$BP$62</definedName>
    <definedName name="_xlnm.Print_Titles" localSheetId="0">'Planned Places Oct14'!$B:$D</definedName>
  </definedNames>
  <calcPr calcId="162913" fullCalcOnLoad="1"/>
</workbook>
</file>

<file path=xl/calcChain.xml><?xml version="1.0" encoding="utf-8"?>
<calcChain xmlns="http://schemas.openxmlformats.org/spreadsheetml/2006/main">
  <c r="BG11" i="1" l="1"/>
  <c r="BM11" i="1"/>
  <c r="BG12" i="1"/>
  <c r="BN12" i="1"/>
  <c r="BM19" i="1"/>
  <c r="B62" i="1"/>
  <c r="BN27" i="1"/>
  <c r="BM27" i="1"/>
  <c r="BN26" i="1"/>
  <c r="BM26" i="1"/>
  <c r="BN25" i="1"/>
  <c r="BM25" i="1"/>
  <c r="BN24" i="1"/>
  <c r="BM24" i="1"/>
  <c r="BN23" i="1"/>
  <c r="BM23" i="1"/>
  <c r="BN22" i="1"/>
  <c r="BM22" i="1"/>
  <c r="BN21" i="1"/>
  <c r="BM21" i="1"/>
  <c r="BN20" i="1"/>
  <c r="BM20" i="1"/>
  <c r="BO20" i="1" s="1"/>
  <c r="BP20" i="1" s="1"/>
  <c r="BN19" i="1"/>
  <c r="BO19" i="1" s="1"/>
  <c r="BP19" i="1" s="1"/>
  <c r="BN18" i="1"/>
  <c r="BM18" i="1"/>
  <c r="BN17" i="1"/>
  <c r="BM17" i="1"/>
  <c r="BN16" i="1"/>
  <c r="BM16" i="1"/>
  <c r="BN15" i="1"/>
  <c r="BM15" i="1"/>
  <c r="BN14" i="1"/>
  <c r="BO14" i="1" s="1"/>
  <c r="BP14" i="1" s="1"/>
  <c r="BM14" i="1"/>
  <c r="BN13" i="1"/>
  <c r="BM13" i="1"/>
  <c r="BN10" i="1"/>
  <c r="BM10" i="1"/>
  <c r="BN9" i="1"/>
  <c r="BM9" i="1"/>
  <c r="BN8" i="1"/>
  <c r="BM8" i="1"/>
  <c r="BN7" i="1"/>
  <c r="BM7" i="1"/>
  <c r="BN6" i="1"/>
  <c r="BM6" i="1"/>
  <c r="BN5" i="1"/>
  <c r="BN36" i="1" s="1"/>
  <c r="BM5" i="1"/>
  <c r="BM36" i="1" s="1"/>
  <c r="BK13" i="1"/>
  <c r="BO13" i="1" s="1"/>
  <c r="BP13" i="1" s="1"/>
  <c r="BK14" i="1"/>
  <c r="BL14" i="1"/>
  <c r="BL13" i="1"/>
  <c r="BP28" i="1"/>
  <c r="BP29" i="1"/>
  <c r="BP30" i="1"/>
  <c r="BP31" i="1"/>
  <c r="BP32" i="1"/>
  <c r="BP33" i="1"/>
  <c r="BP34" i="1"/>
  <c r="BP35" i="1"/>
  <c r="BI36" i="1"/>
  <c r="BH36" i="1"/>
  <c r="BL27" i="1"/>
  <c r="BO27" i="1" s="1"/>
  <c r="BK27" i="1"/>
  <c r="BJ27" i="1"/>
  <c r="BL26" i="1"/>
  <c r="BK26" i="1"/>
  <c r="BJ26" i="1"/>
  <c r="BL25" i="1"/>
  <c r="BK25" i="1"/>
  <c r="BJ25" i="1"/>
  <c r="BL24" i="1"/>
  <c r="BK24" i="1"/>
  <c r="BO24" i="1" s="1"/>
  <c r="BP24" i="1" s="1"/>
  <c r="BJ24" i="1"/>
  <c r="BJ23" i="1"/>
  <c r="BL22" i="1"/>
  <c r="BK22" i="1"/>
  <c r="BJ22" i="1"/>
  <c r="BL21" i="1"/>
  <c r="BK21" i="1"/>
  <c r="BO21" i="1" s="1"/>
  <c r="BP21" i="1" s="1"/>
  <c r="BJ21" i="1"/>
  <c r="BL20" i="1"/>
  <c r="BK20" i="1"/>
  <c r="BJ20" i="1"/>
  <c r="BJ19" i="1"/>
  <c r="BL18" i="1"/>
  <c r="BK18" i="1"/>
  <c r="BO18" i="1" s="1"/>
  <c r="BP18" i="1" s="1"/>
  <c r="BJ18" i="1"/>
  <c r="BL17" i="1"/>
  <c r="BO17" i="1" s="1"/>
  <c r="BP17" i="1" s="1"/>
  <c r="BK17" i="1"/>
  <c r="BJ17" i="1"/>
  <c r="BL16" i="1"/>
  <c r="BK16" i="1"/>
  <c r="BJ16" i="1"/>
  <c r="BL15" i="1"/>
  <c r="BO15" i="1" s="1"/>
  <c r="BK15" i="1"/>
  <c r="BJ15" i="1"/>
  <c r="BJ14" i="1"/>
  <c r="BJ13" i="1"/>
  <c r="BL12" i="1"/>
  <c r="BK12" i="1"/>
  <c r="BJ12" i="1"/>
  <c r="BL11" i="1"/>
  <c r="BO11" i="1" s="1"/>
  <c r="BK11" i="1"/>
  <c r="BJ11" i="1"/>
  <c r="BL10" i="1"/>
  <c r="BK10" i="1"/>
  <c r="BJ10" i="1"/>
  <c r="BL9" i="1"/>
  <c r="BK9" i="1"/>
  <c r="BJ9" i="1"/>
  <c r="BL8" i="1"/>
  <c r="BK8" i="1"/>
  <c r="BJ8" i="1"/>
  <c r="BL7" i="1"/>
  <c r="BK7" i="1"/>
  <c r="BJ7" i="1"/>
  <c r="BL6" i="1"/>
  <c r="BK6" i="1"/>
  <c r="BJ6" i="1"/>
  <c r="BJ36" i="1" s="1"/>
  <c r="BL5" i="1"/>
  <c r="BL36" i="1" s="1"/>
  <c r="BK5" i="1"/>
  <c r="BJ5" i="1"/>
  <c r="BO10" i="1"/>
  <c r="BO22" i="1"/>
  <c r="BO26" i="1"/>
  <c r="BN11" i="1"/>
  <c r="BG36" i="1"/>
  <c r="BM12" i="1"/>
  <c r="BO23" i="1"/>
  <c r="BP23" i="1" s="1"/>
  <c r="BO7" i="1"/>
  <c r="BO25" i="1"/>
  <c r="BO8" i="1"/>
  <c r="BP8" i="1" s="1"/>
  <c r="BO16" i="1"/>
  <c r="BO9" i="1"/>
  <c r="BP9" i="1" s="1"/>
  <c r="BO12" i="1"/>
  <c r="AW34" i="1"/>
  <c r="AQ6" i="1"/>
  <c r="AQ7" i="1"/>
  <c r="AQ8" i="1"/>
  <c r="AQ9" i="1"/>
  <c r="AQ10" i="1"/>
  <c r="AQ11" i="1"/>
  <c r="AQ12" i="1"/>
  <c r="AP13" i="1"/>
  <c r="AQ13" i="1"/>
  <c r="AP14" i="1"/>
  <c r="AQ14" i="1"/>
  <c r="AP15" i="1"/>
  <c r="AQ15" i="1"/>
  <c r="AP16" i="1"/>
  <c r="AQ16" i="1"/>
  <c r="AP17" i="1"/>
  <c r="AQ17" i="1"/>
  <c r="AQ19" i="1"/>
  <c r="AQ20" i="1"/>
  <c r="AP21" i="1"/>
  <c r="AQ21" i="1"/>
  <c r="AQ22" i="1"/>
  <c r="AQ23" i="1"/>
  <c r="AP24" i="1"/>
  <c r="AQ24" i="1"/>
  <c r="AP25" i="1"/>
  <c r="AQ25" i="1"/>
  <c r="AQ26" i="1"/>
  <c r="AQ27" i="1"/>
  <c r="AP28" i="1"/>
  <c r="AQ28" i="1"/>
  <c r="AP29" i="1"/>
  <c r="AQ29" i="1"/>
  <c r="AP30" i="1"/>
  <c r="AQ30" i="1"/>
  <c r="AP31" i="1"/>
  <c r="AQ31" i="1"/>
  <c r="AP32" i="1"/>
  <c r="AQ32" i="1"/>
  <c r="AP33" i="1"/>
  <c r="AQ33" i="1"/>
  <c r="AQ5" i="1"/>
  <c r="AP5" i="1"/>
  <c r="I16" i="1"/>
  <c r="N16" i="1" s="1"/>
  <c r="P16" i="1" s="1"/>
  <c r="J16" i="1"/>
  <c r="AR16" i="1" s="1"/>
  <c r="M16" i="1"/>
  <c r="AC13" i="1"/>
  <c r="AC14" i="1"/>
  <c r="J13" i="1"/>
  <c r="N13" i="1"/>
  <c r="O13" i="1" s="1"/>
  <c r="J14" i="1"/>
  <c r="K14" i="1" s="1"/>
  <c r="N14" i="1"/>
  <c r="O14" i="1" s="1"/>
  <c r="I21" i="1"/>
  <c r="N21" i="1" s="1"/>
  <c r="J21" i="1"/>
  <c r="L14" i="1"/>
  <c r="S16" i="1"/>
  <c r="L16" i="1"/>
  <c r="AT36" i="1"/>
  <c r="BC11" i="1"/>
  <c r="BC12" i="1"/>
  <c r="BC13" i="1"/>
  <c r="BC14" i="1"/>
  <c r="BC15" i="1"/>
  <c r="BC16" i="1"/>
  <c r="BC17" i="1"/>
  <c r="BC18" i="1"/>
  <c r="BC19" i="1"/>
  <c r="BC20" i="1"/>
  <c r="BC21" i="1"/>
  <c r="BF21" i="1" s="1"/>
  <c r="BC22" i="1"/>
  <c r="BF22" i="1" s="1"/>
  <c r="BC23" i="1"/>
  <c r="BC24" i="1"/>
  <c r="BC25" i="1"/>
  <c r="BC26" i="1"/>
  <c r="BC27" i="1"/>
  <c r="BC6" i="1"/>
  <c r="BC7" i="1"/>
  <c r="BC8" i="1"/>
  <c r="BC9" i="1"/>
  <c r="BC10" i="1"/>
  <c r="AB17" i="1"/>
  <c r="AE13" i="1"/>
  <c r="AB13" i="1"/>
  <c r="AE14" i="1"/>
  <c r="AB14" i="1"/>
  <c r="AX36" i="1"/>
  <c r="BB5" i="1"/>
  <c r="BF5" i="1" s="1"/>
  <c r="BA5" i="1"/>
  <c r="AY36" i="1"/>
  <c r="BD26" i="1"/>
  <c r="BE26" i="1"/>
  <c r="BD22" i="1"/>
  <c r="BE22" i="1"/>
  <c r="BD18" i="1"/>
  <c r="BE18" i="1"/>
  <c r="BD14" i="1"/>
  <c r="BE14" i="1"/>
  <c r="BD10" i="1"/>
  <c r="BE10" i="1"/>
  <c r="BE6" i="1"/>
  <c r="BD6" i="1"/>
  <c r="BB26" i="1"/>
  <c r="BA26" i="1"/>
  <c r="BB24" i="1"/>
  <c r="BA24" i="1"/>
  <c r="BB22" i="1"/>
  <c r="BA22" i="1"/>
  <c r="BB20" i="1"/>
  <c r="BA20" i="1"/>
  <c r="BB18" i="1"/>
  <c r="BF18" i="1" s="1"/>
  <c r="BA18" i="1"/>
  <c r="BB16" i="1"/>
  <c r="BA16" i="1"/>
  <c r="BB14" i="1"/>
  <c r="BA14" i="1"/>
  <c r="BB12" i="1"/>
  <c r="BA12" i="1"/>
  <c r="AZ36" i="1"/>
  <c r="BC5" i="1"/>
  <c r="BC36" i="1" s="1"/>
  <c r="BE25" i="1"/>
  <c r="BD25" i="1"/>
  <c r="BD21" i="1"/>
  <c r="BE21" i="1"/>
  <c r="BD17" i="1"/>
  <c r="BE17" i="1"/>
  <c r="BD13" i="1"/>
  <c r="BE13" i="1"/>
  <c r="BD9" i="1"/>
  <c r="BE9" i="1"/>
  <c r="BB9" i="1"/>
  <c r="BA9" i="1"/>
  <c r="BB7" i="1"/>
  <c r="BF7" i="1" s="1"/>
  <c r="BP7" i="1" s="1"/>
  <c r="BA7" i="1"/>
  <c r="BD5" i="1"/>
  <c r="BE5" i="1"/>
  <c r="BD24" i="1"/>
  <c r="BE24" i="1"/>
  <c r="BD20" i="1"/>
  <c r="BE20" i="1"/>
  <c r="BD16" i="1"/>
  <c r="BF16" i="1" s="1"/>
  <c r="BP16" i="1" s="1"/>
  <c r="BE16" i="1"/>
  <c r="BE12" i="1"/>
  <c r="BD12" i="1"/>
  <c r="BE8" i="1"/>
  <c r="BD8" i="1"/>
  <c r="BB27" i="1"/>
  <c r="BA27" i="1"/>
  <c r="BB25" i="1"/>
  <c r="BF25" i="1" s="1"/>
  <c r="BA25" i="1"/>
  <c r="BB23" i="1"/>
  <c r="BA23" i="1"/>
  <c r="BB21" i="1"/>
  <c r="BA21" i="1"/>
  <c r="BB19" i="1"/>
  <c r="BA19" i="1"/>
  <c r="BB17" i="1"/>
  <c r="BF17" i="1" s="1"/>
  <c r="BA17" i="1"/>
  <c r="BB15" i="1"/>
  <c r="BF15" i="1" s="1"/>
  <c r="BA15" i="1"/>
  <c r="BB13" i="1"/>
  <c r="BA13" i="1"/>
  <c r="BB11" i="1"/>
  <c r="BA11" i="1"/>
  <c r="BD27" i="1"/>
  <c r="BF27" i="1" s="1"/>
  <c r="BE27" i="1"/>
  <c r="BE23" i="1"/>
  <c r="BD23" i="1"/>
  <c r="BE19" i="1"/>
  <c r="BD19" i="1"/>
  <c r="BE15" i="1"/>
  <c r="BD15" i="1"/>
  <c r="BD11" i="1"/>
  <c r="BF11" i="1" s="1"/>
  <c r="BE11" i="1"/>
  <c r="BE36" i="1" s="1"/>
  <c r="BD7" i="1"/>
  <c r="BE7" i="1"/>
  <c r="BB10" i="1"/>
  <c r="BA10" i="1"/>
  <c r="BB8" i="1"/>
  <c r="BA8" i="1"/>
  <c r="BB6" i="1"/>
  <c r="BA6" i="1"/>
  <c r="BA36" i="1" s="1"/>
  <c r="AA15" i="1"/>
  <c r="AB15" i="1"/>
  <c r="AA13" i="1"/>
  <c r="AD13" i="1"/>
  <c r="AA14" i="1"/>
  <c r="AF14" i="1" s="1"/>
  <c r="AD14" i="1"/>
  <c r="BF14" i="1"/>
  <c r="BF26" i="1"/>
  <c r="BP26" i="1" s="1"/>
  <c r="BF9" i="1"/>
  <c r="BF10" i="1"/>
  <c r="BP10" i="1"/>
  <c r="BF13" i="1"/>
  <c r="BF12" i="1"/>
  <c r="BP12" i="1" s="1"/>
  <c r="BF20" i="1"/>
  <c r="BF24" i="1"/>
  <c r="BF8" i="1"/>
  <c r="BF19" i="1"/>
  <c r="BF23" i="1"/>
  <c r="AS36" i="1"/>
  <c r="AF13" i="1"/>
  <c r="K75" i="1"/>
  <c r="K83" i="1" s="1"/>
  <c r="J75" i="1"/>
  <c r="J79" i="1"/>
  <c r="K64" i="1"/>
  <c r="J64" i="1"/>
  <c r="K60" i="1"/>
  <c r="J60" i="1"/>
  <c r="E56" i="1"/>
  <c r="E54" i="1"/>
  <c r="E53" i="1"/>
  <c r="K49" i="1"/>
  <c r="J49" i="1"/>
  <c r="G49" i="1"/>
  <c r="F49" i="1"/>
  <c r="E49" i="1"/>
  <c r="K48" i="1"/>
  <c r="F48" i="1"/>
  <c r="F47" i="1"/>
  <c r="E47" i="1"/>
  <c r="G46" i="1"/>
  <c r="F46" i="1"/>
  <c r="E46" i="1"/>
  <c r="G45" i="1"/>
  <c r="F45" i="1"/>
  <c r="E45" i="1"/>
  <c r="F44" i="1"/>
  <c r="E44" i="1"/>
  <c r="F43" i="1"/>
  <c r="E43" i="1"/>
  <c r="F42" i="1"/>
  <c r="F51" i="1" s="1"/>
  <c r="E42" i="1"/>
  <c r="F41" i="1"/>
  <c r="E41" i="1"/>
  <c r="X38" i="1"/>
  <c r="R38" i="1"/>
  <c r="H38" i="1"/>
  <c r="F37" i="1"/>
  <c r="F38" i="1" s="1"/>
  <c r="Y49" i="1"/>
  <c r="M35" i="1"/>
  <c r="M49" i="1"/>
  <c r="L35" i="1"/>
  <c r="L49" i="1" s="1"/>
  <c r="I35" i="1"/>
  <c r="I38" i="1"/>
  <c r="AA34" i="1"/>
  <c r="M34" i="1"/>
  <c r="L34" i="1"/>
  <c r="I34" i="1"/>
  <c r="AH34" i="1" s="1"/>
  <c r="AA33" i="1"/>
  <c r="M33" i="1"/>
  <c r="J33" i="1"/>
  <c r="S33" i="1" s="1"/>
  <c r="I33" i="1"/>
  <c r="AA32" i="1"/>
  <c r="M32" i="1"/>
  <c r="J32" i="1"/>
  <c r="I32" i="1"/>
  <c r="N32" i="1"/>
  <c r="O32" i="1" s="1"/>
  <c r="AA31" i="1"/>
  <c r="M31" i="1"/>
  <c r="J31" i="1"/>
  <c r="I31" i="1"/>
  <c r="N31" i="1" s="1"/>
  <c r="P31" i="1" s="1"/>
  <c r="AA30" i="1"/>
  <c r="M30" i="1"/>
  <c r="J30" i="1"/>
  <c r="S30" i="1" s="1"/>
  <c r="U30" i="1" s="1"/>
  <c r="I30" i="1"/>
  <c r="AH30" i="1" s="1"/>
  <c r="N30" i="1"/>
  <c r="P30" i="1" s="1"/>
  <c r="AA29" i="1"/>
  <c r="M29" i="1"/>
  <c r="J29" i="1"/>
  <c r="S29" i="1" s="1"/>
  <c r="I29" i="1"/>
  <c r="N29" i="1" s="1"/>
  <c r="P29" i="1" s="1"/>
  <c r="AA28" i="1"/>
  <c r="AF28" i="1" s="1"/>
  <c r="M28" i="1"/>
  <c r="J28" i="1"/>
  <c r="I28" i="1"/>
  <c r="N28" i="1" s="1"/>
  <c r="I27" i="1"/>
  <c r="G27" i="1"/>
  <c r="AP27" i="1"/>
  <c r="I26" i="1"/>
  <c r="AC26" i="1"/>
  <c r="AC47" i="1" s="1"/>
  <c r="G26" i="1"/>
  <c r="J26" i="1" s="1"/>
  <c r="L26" i="1" s="1"/>
  <c r="J25" i="1"/>
  <c r="H25" i="1"/>
  <c r="I25" i="1" s="1"/>
  <c r="J24" i="1"/>
  <c r="H24" i="1"/>
  <c r="I24" i="1"/>
  <c r="N24" i="1" s="1"/>
  <c r="I23" i="1"/>
  <c r="N23" i="1" s="1"/>
  <c r="P23" i="1" s="1"/>
  <c r="G23" i="1"/>
  <c r="AP23" i="1" s="1"/>
  <c r="I22" i="1"/>
  <c r="AC22" i="1" s="1"/>
  <c r="G22" i="1"/>
  <c r="H22" i="1" s="1"/>
  <c r="I20" i="1"/>
  <c r="AC20" i="1" s="1"/>
  <c r="G20" i="1"/>
  <c r="H20" i="1" s="1"/>
  <c r="I19" i="1"/>
  <c r="N19" i="1" s="1"/>
  <c r="G19" i="1"/>
  <c r="AC18" i="1"/>
  <c r="AD18" i="1" s="1"/>
  <c r="Z48" i="1"/>
  <c r="Y48" i="1"/>
  <c r="N18" i="1"/>
  <c r="O18" i="1" s="1"/>
  <c r="M18" i="1"/>
  <c r="M48" i="1" s="1"/>
  <c r="G18" i="1"/>
  <c r="E18" i="1"/>
  <c r="E55" i="1" s="1"/>
  <c r="J17" i="1"/>
  <c r="I17" i="1"/>
  <c r="AC17" i="1" s="1"/>
  <c r="AD17" i="1" s="1"/>
  <c r="H17" i="1"/>
  <c r="J15" i="1"/>
  <c r="I15" i="1"/>
  <c r="AH15" i="1"/>
  <c r="H15" i="1"/>
  <c r="AI12" i="1"/>
  <c r="AC12" i="1"/>
  <c r="N12" i="1"/>
  <c r="O12" i="1" s="1"/>
  <c r="G12" i="1"/>
  <c r="J12" i="1" s="1"/>
  <c r="AK11" i="1"/>
  <c r="AI11" i="1"/>
  <c r="AC11" i="1"/>
  <c r="N11" i="1"/>
  <c r="G11" i="1"/>
  <c r="I10" i="1"/>
  <c r="N10" i="1" s="1"/>
  <c r="G10" i="1"/>
  <c r="AP10" i="1" s="1"/>
  <c r="I9" i="1"/>
  <c r="AC9" i="1" s="1"/>
  <c r="G9" i="1"/>
  <c r="I8" i="1"/>
  <c r="N8" i="1"/>
  <c r="O8" i="1" s="1"/>
  <c r="G8" i="1"/>
  <c r="AP8" i="1" s="1"/>
  <c r="I7" i="1"/>
  <c r="AC7" i="1"/>
  <c r="G7" i="1"/>
  <c r="H7" i="1" s="1"/>
  <c r="AP7" i="1"/>
  <c r="I6" i="1"/>
  <c r="N6" i="1"/>
  <c r="O6" i="1" s="1"/>
  <c r="G6" i="1"/>
  <c r="AP6" i="1" s="1"/>
  <c r="J5" i="1"/>
  <c r="I5" i="1"/>
  <c r="N5" i="1" s="1"/>
  <c r="O5" i="1" s="1"/>
  <c r="H5" i="1"/>
  <c r="AH17" i="1"/>
  <c r="J46" i="1"/>
  <c r="AR29" i="1"/>
  <c r="AR30" i="1"/>
  <c r="S31" i="1"/>
  <c r="U31" i="1"/>
  <c r="AR31" i="1"/>
  <c r="S32" i="1"/>
  <c r="U32" i="1" s="1"/>
  <c r="AR32" i="1"/>
  <c r="AP12" i="1"/>
  <c r="L15" i="1"/>
  <c r="J9" i="1"/>
  <c r="K17" i="1"/>
  <c r="AR17" i="1" s="1"/>
  <c r="G48" i="1"/>
  <c r="AP18" i="1"/>
  <c r="G43" i="1"/>
  <c r="AP19" i="1"/>
  <c r="J22" i="1"/>
  <c r="K22" i="1" s="1"/>
  <c r="M22" i="1" s="1"/>
  <c r="G47" i="1"/>
  <c r="AP26" i="1"/>
  <c r="L22" i="1"/>
  <c r="H12" i="1"/>
  <c r="N7" i="1"/>
  <c r="O7" i="1" s="1"/>
  <c r="N26" i="1"/>
  <c r="AH29" i="1"/>
  <c r="AH33" i="1"/>
  <c r="J7" i="1"/>
  <c r="AC8" i="1"/>
  <c r="H9" i="1"/>
  <c r="H26" i="1"/>
  <c r="K26" i="1"/>
  <c r="AH28" i="1"/>
  <c r="AH32" i="1"/>
  <c r="L7" i="1"/>
  <c r="N9" i="1"/>
  <c r="H11" i="1"/>
  <c r="N15" i="1"/>
  <c r="O15" i="1" s="1"/>
  <c r="AD48" i="1"/>
  <c r="J20" i="1"/>
  <c r="AC28" i="1"/>
  <c r="AD28" i="1" s="1"/>
  <c r="AC29" i="1"/>
  <c r="AD29" i="1" s="1"/>
  <c r="AC30" i="1"/>
  <c r="AC31" i="1"/>
  <c r="AD31" i="1"/>
  <c r="AC32" i="1"/>
  <c r="AD32" i="1"/>
  <c r="N35" i="1"/>
  <c r="P35" i="1"/>
  <c r="P49" i="1" s="1"/>
  <c r="AC35" i="1"/>
  <c r="K5" i="1"/>
  <c r="G41" i="1"/>
  <c r="J6" i="1"/>
  <c r="J10" i="1"/>
  <c r="H10" i="1"/>
  <c r="J45" i="1"/>
  <c r="K15" i="1"/>
  <c r="S15" i="1"/>
  <c r="H18" i="1"/>
  <c r="L5" i="1"/>
  <c r="AC6" i="1"/>
  <c r="AH6" i="1"/>
  <c r="L17" i="1"/>
  <c r="J8" i="1"/>
  <c r="H8" i="1"/>
  <c r="AB25" i="1"/>
  <c r="AA25" i="1"/>
  <c r="AA46" i="1" s="1"/>
  <c r="AD7" i="1"/>
  <c r="AH8" i="1"/>
  <c r="AH27" i="1"/>
  <c r="J27" i="1"/>
  <c r="H27" i="1"/>
  <c r="T31" i="1"/>
  <c r="V31" i="1" s="1"/>
  <c r="J23" i="1"/>
  <c r="L23" i="1" s="1"/>
  <c r="Q23" i="1" s="1"/>
  <c r="O23" i="1"/>
  <c r="H23" i="1"/>
  <c r="AC27" i="1"/>
  <c r="N27" i="1"/>
  <c r="O31" i="1"/>
  <c r="Q31" i="1" s="1"/>
  <c r="P18" i="1"/>
  <c r="P48" i="1" s="1"/>
  <c r="AB18" i="1"/>
  <c r="AC19" i="1"/>
  <c r="L20" i="1"/>
  <c r="AC5" i="1"/>
  <c r="AD5" i="1" s="1"/>
  <c r="G42" i="1"/>
  <c r="J11" i="1"/>
  <c r="AC15" i="1"/>
  <c r="J18" i="1"/>
  <c r="AA18" i="1"/>
  <c r="AE18" i="1"/>
  <c r="AE48" i="1"/>
  <c r="AH18" i="1"/>
  <c r="H19" i="1"/>
  <c r="J19" i="1"/>
  <c r="O24" i="1"/>
  <c r="AC24" i="1"/>
  <c r="AH24" i="1"/>
  <c r="L24" i="1"/>
  <c r="L25" i="1"/>
  <c r="AH26" i="1"/>
  <c r="L28" i="1"/>
  <c r="AB28" i="1"/>
  <c r="L29" i="1"/>
  <c r="AB29" i="1"/>
  <c r="AB30" i="1"/>
  <c r="AD30" i="1"/>
  <c r="L31" i="1"/>
  <c r="AB31" i="1"/>
  <c r="L32" i="1"/>
  <c r="AB32" i="1"/>
  <c r="L33" i="1"/>
  <c r="AB33" i="1"/>
  <c r="AB34" i="1"/>
  <c r="O35" i="1"/>
  <c r="O49" i="1" s="1"/>
  <c r="K79" i="1"/>
  <c r="J83" i="1"/>
  <c r="AA35" i="1"/>
  <c r="O9" i="1"/>
  <c r="S17" i="1"/>
  <c r="T17" i="1"/>
  <c r="T30" i="1"/>
  <c r="V30" i="1" s="1"/>
  <c r="AD35" i="1"/>
  <c r="AD49" i="1" s="1"/>
  <c r="AC44" i="1"/>
  <c r="O48" i="1"/>
  <c r="AR18" i="1"/>
  <c r="K20" i="1"/>
  <c r="AR15" i="1"/>
  <c r="J42" i="1"/>
  <c r="AR26" i="1"/>
  <c r="O26" i="1"/>
  <c r="O47" i="1" s="1"/>
  <c r="J41" i="1"/>
  <c r="AE29" i="1"/>
  <c r="AE31" i="1"/>
  <c r="L46" i="1"/>
  <c r="AA48" i="1"/>
  <c r="L11" i="1"/>
  <c r="K11" i="1"/>
  <c r="K23" i="1"/>
  <c r="M23" i="1" s="1"/>
  <c r="L27" i="1"/>
  <c r="K27" i="1"/>
  <c r="AR27" i="1"/>
  <c r="AA20" i="1"/>
  <c r="AA43" i="1" s="1"/>
  <c r="AA17" i="1"/>
  <c r="L8" i="1"/>
  <c r="K8" i="1"/>
  <c r="M8" i="1" s="1"/>
  <c r="S8" i="1"/>
  <c r="U8" i="1" s="1"/>
  <c r="V8" i="1" s="1"/>
  <c r="T15" i="1"/>
  <c r="K45" i="1"/>
  <c r="M15" i="1"/>
  <c r="P15" i="1"/>
  <c r="M5" i="1"/>
  <c r="P5" i="1"/>
  <c r="Z49" i="1"/>
  <c r="AB35" i="1"/>
  <c r="AB49" i="1" s="1"/>
  <c r="T33" i="1"/>
  <c r="Y46" i="1"/>
  <c r="Y51" i="1" s="1"/>
  <c r="AA24" i="1"/>
  <c r="J48" i="1"/>
  <c r="S18" i="1"/>
  <c r="U18" i="1" s="1"/>
  <c r="L18" i="1"/>
  <c r="AD15" i="1"/>
  <c r="AC41" i="1"/>
  <c r="O27" i="1"/>
  <c r="M26" i="1"/>
  <c r="L10" i="1"/>
  <c r="K10" i="1"/>
  <c r="S10" i="1" s="1"/>
  <c r="AA7" i="1"/>
  <c r="AF7" i="1" s="1"/>
  <c r="L6" i="1"/>
  <c r="K6" i="1"/>
  <c r="AR6" i="1" s="1"/>
  <c r="AE32" i="1"/>
  <c r="AE30" i="1"/>
  <c r="AE28" i="1"/>
  <c r="O10" i="1"/>
  <c r="K47" i="1"/>
  <c r="M20" i="1"/>
  <c r="S20" i="1"/>
  <c r="T20" i="1" s="1"/>
  <c r="AR20" i="1"/>
  <c r="M6" i="1"/>
  <c r="AA9" i="1"/>
  <c r="AD9" i="1"/>
  <c r="AA26" i="1"/>
  <c r="L48" i="1"/>
  <c r="Q18" i="1"/>
  <c r="AU18" i="1" s="1"/>
  <c r="AW18" i="1" s="1"/>
  <c r="AA5" i="1"/>
  <c r="Y37" i="1"/>
  <c r="Y38" i="1"/>
  <c r="P8" i="1"/>
  <c r="Q8" i="1" s="1"/>
  <c r="AB20" i="1"/>
  <c r="S6" i="1"/>
  <c r="T6" i="1" s="1"/>
  <c r="S23" i="1"/>
  <c r="U23" i="1" s="1"/>
  <c r="AB7" i="1"/>
  <c r="AE7" i="1"/>
  <c r="T18" i="1"/>
  <c r="Z46" i="1"/>
  <c r="AB24" i="1"/>
  <c r="AB46" i="1"/>
  <c r="Y45" i="1"/>
  <c r="T8" i="1"/>
  <c r="AA12" i="1"/>
  <c r="AD12" i="1"/>
  <c r="M27" i="1"/>
  <c r="M47" i="1" s="1"/>
  <c r="S11" i="1"/>
  <c r="T11" i="1" s="1"/>
  <c r="V11" i="1" s="1"/>
  <c r="U11" i="1"/>
  <c r="Y43" i="1"/>
  <c r="AA19" i="1"/>
  <c r="AD19" i="1"/>
  <c r="Y44" i="1"/>
  <c r="AA11" i="1"/>
  <c r="AD11" i="1"/>
  <c r="AD44" i="1"/>
  <c r="AA27" i="1"/>
  <c r="AA47" i="1" s="1"/>
  <c r="AD27" i="1"/>
  <c r="Z45" i="1"/>
  <c r="AB45" i="1"/>
  <c r="AE15" i="1"/>
  <c r="AF15" i="1" s="1"/>
  <c r="AA10" i="1"/>
  <c r="AA42" i="1" s="1"/>
  <c r="AA23" i="1"/>
  <c r="AB5" i="1"/>
  <c r="AE5" i="1"/>
  <c r="AF5" i="1" s="1"/>
  <c r="V18" i="1"/>
  <c r="AB12" i="1"/>
  <c r="AE12" i="1"/>
  <c r="AA45" i="1"/>
  <c r="AA22" i="1"/>
  <c r="AF22" i="1" s="1"/>
  <c r="AD22" i="1"/>
  <c r="AA8" i="1"/>
  <c r="AD8" i="1"/>
  <c r="AF8" i="1" s="1"/>
  <c r="Z47" i="1"/>
  <c r="AB26" i="1"/>
  <c r="Z42" i="1"/>
  <c r="AB9" i="1"/>
  <c r="AE9" i="1"/>
  <c r="AF9" i="1" s="1"/>
  <c r="AA6" i="1"/>
  <c r="AA37" i="1" s="1"/>
  <c r="AA38" i="1" s="1"/>
  <c r="AD6" i="1"/>
  <c r="Y41" i="1"/>
  <c r="Y47" i="1"/>
  <c r="Y42" i="1"/>
  <c r="AF12" i="1"/>
  <c r="AB6" i="1"/>
  <c r="AB41" i="1" s="1"/>
  <c r="AE6" i="1"/>
  <c r="AE41" i="1" s="1"/>
  <c r="AB8" i="1"/>
  <c r="AE8" i="1"/>
  <c r="AB22" i="1"/>
  <c r="AE22" i="1"/>
  <c r="AB23" i="1"/>
  <c r="AB43" i="1" s="1"/>
  <c r="AB27" i="1"/>
  <c r="AB47" i="1" s="1"/>
  <c r="AE27" i="1"/>
  <c r="Z44" i="1"/>
  <c r="AB11" i="1"/>
  <c r="AB44" i="1"/>
  <c r="AE11" i="1"/>
  <c r="AF11" i="1" s="1"/>
  <c r="AE44" i="1"/>
  <c r="Z43" i="1"/>
  <c r="AB19" i="1"/>
  <c r="AE19" i="1"/>
  <c r="Z41" i="1"/>
  <c r="Z51" i="1" s="1"/>
  <c r="AB10" i="1"/>
  <c r="AA44" i="1"/>
  <c r="Z37" i="1"/>
  <c r="Z38" i="1"/>
  <c r="AF19" i="1"/>
  <c r="AB42" i="1"/>
  <c r="S40" i="1"/>
  <c r="AV36" i="1"/>
  <c r="L47" i="1" l="1"/>
  <c r="BF36" i="1"/>
  <c r="AU23" i="1"/>
  <c r="AW23" i="1" s="1"/>
  <c r="W23" i="1"/>
  <c r="AU31" i="1"/>
  <c r="AW31" i="1" s="1"/>
  <c r="W31" i="1"/>
  <c r="AU8" i="1"/>
  <c r="AW8" i="1" s="1"/>
  <c r="W8" i="1"/>
  <c r="AF17" i="1"/>
  <c r="U10" i="1"/>
  <c r="T10" i="1"/>
  <c r="V6" i="1"/>
  <c r="AA49" i="1"/>
  <c r="AR19" i="1"/>
  <c r="J67" i="1"/>
  <c r="AH11" i="1"/>
  <c r="AP11" i="1"/>
  <c r="G44" i="1"/>
  <c r="G51" i="1" s="1"/>
  <c r="T29" i="1"/>
  <c r="U29" i="1"/>
  <c r="AF32" i="1"/>
  <c r="P21" i="1"/>
  <c r="O21" i="1"/>
  <c r="BO6" i="1"/>
  <c r="BP6" i="1" s="1"/>
  <c r="BK36" i="1"/>
  <c r="BP11" i="1"/>
  <c r="BP15" i="1"/>
  <c r="BP27" i="1"/>
  <c r="P11" i="1"/>
  <c r="AD26" i="1"/>
  <c r="AD47" i="1" s="1"/>
  <c r="AD41" i="1"/>
  <c r="U6" i="1"/>
  <c r="Q48" i="1"/>
  <c r="T23" i="1"/>
  <c r="V23" i="1" s="1"/>
  <c r="Q5" i="1"/>
  <c r="J37" i="1"/>
  <c r="J38" i="1" s="1"/>
  <c r="P27" i="1"/>
  <c r="Q27" i="1" s="1"/>
  <c r="S27" i="1"/>
  <c r="AE17" i="1"/>
  <c r="O30" i="1"/>
  <c r="O41" i="1" s="1"/>
  <c r="U15" i="1"/>
  <c r="V15" i="1" s="1"/>
  <c r="AR5" i="1"/>
  <c r="S5" i="1"/>
  <c r="P9" i="1"/>
  <c r="P42" i="1" s="1"/>
  <c r="O11" i="1"/>
  <c r="AC33" i="1"/>
  <c r="N33" i="1"/>
  <c r="BD36" i="1"/>
  <c r="BP22" i="1"/>
  <c r="P7" i="1"/>
  <c r="L21" i="1"/>
  <c r="Q21" i="1" s="1"/>
  <c r="AR21" i="1"/>
  <c r="K21" i="1"/>
  <c r="M21" i="1" s="1"/>
  <c r="AF6" i="1"/>
  <c r="Q55" i="1"/>
  <c r="K19" i="1"/>
  <c r="O29" i="1"/>
  <c r="Q29" i="1" s="1"/>
  <c r="AR8" i="1"/>
  <c r="N20" i="1"/>
  <c r="U20" i="1" s="1"/>
  <c r="V20" i="1" s="1"/>
  <c r="S7" i="1"/>
  <c r="K7" i="1"/>
  <c r="AR7" i="1"/>
  <c r="K9" i="1"/>
  <c r="L9" i="1"/>
  <c r="S24" i="1"/>
  <c r="U33" i="1"/>
  <c r="V33" i="1" s="1"/>
  <c r="P14" i="1"/>
  <c r="S14" i="1"/>
  <c r="AR14" i="1"/>
  <c r="M14" i="1"/>
  <c r="BP25" i="1"/>
  <c r="AA41" i="1"/>
  <c r="AB37" i="1"/>
  <c r="AB38" i="1" s="1"/>
  <c r="M10" i="1"/>
  <c r="Q10" i="1" s="1"/>
  <c r="AR11" i="1"/>
  <c r="O19" i="1"/>
  <c r="L19" i="1"/>
  <c r="AC38" i="1"/>
  <c r="AC49" i="1"/>
  <c r="L45" i="1"/>
  <c r="AD20" i="1"/>
  <c r="AE20" i="1"/>
  <c r="AH25" i="1"/>
  <c r="N25" i="1"/>
  <c r="O28" i="1"/>
  <c r="P28" i="1"/>
  <c r="AF31" i="1"/>
  <c r="BF6" i="1"/>
  <c r="BB36" i="1"/>
  <c r="P10" i="1"/>
  <c r="AE26" i="1"/>
  <c r="AE47" i="1" s="1"/>
  <c r="AE24" i="1"/>
  <c r="M11" i="1"/>
  <c r="J44" i="1"/>
  <c r="AD24" i="1"/>
  <c r="Q35" i="1"/>
  <c r="AE35" i="1"/>
  <c r="AE49" i="1" s="1"/>
  <c r="O42" i="1"/>
  <c r="AF30" i="1"/>
  <c r="AC25" i="1"/>
  <c r="AH20" i="1"/>
  <c r="AP9" i="1"/>
  <c r="AP36" i="1" s="1"/>
  <c r="AH9" i="1"/>
  <c r="AR28" i="1"/>
  <c r="S28" i="1"/>
  <c r="J43" i="1"/>
  <c r="U16" i="1"/>
  <c r="AR13" i="1"/>
  <c r="L13" i="1"/>
  <c r="K13" i="1"/>
  <c r="S13" i="1"/>
  <c r="AF27" i="1"/>
  <c r="W18" i="1"/>
  <c r="K67" i="1"/>
  <c r="J58" i="1"/>
  <c r="AF29" i="1"/>
  <c r="AF44" i="1" s="1"/>
  <c r="AB48" i="1"/>
  <c r="AB51" i="1" s="1"/>
  <c r="AF18" i="1"/>
  <c r="AF48" i="1" s="1"/>
  <c r="AR10" i="1"/>
  <c r="P26" i="1"/>
  <c r="Q26" i="1" s="1"/>
  <c r="L12" i="1"/>
  <c r="L44" i="1" s="1"/>
  <c r="K12" i="1"/>
  <c r="K44" i="1" s="1"/>
  <c r="J47" i="1"/>
  <c r="S26" i="1"/>
  <c r="O16" i="1"/>
  <c r="Q16" i="1" s="1"/>
  <c r="T16" i="1"/>
  <c r="AC16" i="1"/>
  <c r="P6" i="1"/>
  <c r="T32" i="1"/>
  <c r="V32" i="1" s="1"/>
  <c r="G37" i="1"/>
  <c r="G38" i="1" s="1"/>
  <c r="AH22" i="1"/>
  <c r="AH12" i="1"/>
  <c r="K24" i="1"/>
  <c r="AH31" i="1"/>
  <c r="AH7" i="1"/>
  <c r="AP20" i="1"/>
  <c r="K25" i="1"/>
  <c r="AH5" i="1"/>
  <c r="AQ18" i="1"/>
  <c r="AQ36" i="1" s="1"/>
  <c r="AC48" i="1"/>
  <c r="AR33" i="1"/>
  <c r="Q15" i="1"/>
  <c r="AR23" i="1"/>
  <c r="AR22" i="1"/>
  <c r="L30" i="1"/>
  <c r="Q30" i="1" s="1"/>
  <c r="AH23" i="1"/>
  <c r="AH19" i="1"/>
  <c r="P32" i="1"/>
  <c r="Q32" i="1" s="1"/>
  <c r="E37" i="1"/>
  <c r="E38" i="1" s="1"/>
  <c r="H6" i="1"/>
  <c r="AP22" i="1"/>
  <c r="N22" i="1"/>
  <c r="AC23" i="1"/>
  <c r="M17" i="1"/>
  <c r="M45" i="1" s="1"/>
  <c r="AH10" i="1"/>
  <c r="E48" i="1"/>
  <c r="N34" i="1"/>
  <c r="S22" i="1"/>
  <c r="BO5" i="1"/>
  <c r="AC10" i="1"/>
  <c r="N17" i="1"/>
  <c r="AC34" i="1"/>
  <c r="Q47" i="1" l="1"/>
  <c r="AU26" i="1"/>
  <c r="AW26" i="1" s="1"/>
  <c r="W32" i="1"/>
  <c r="AU32" i="1"/>
  <c r="AW32" i="1" s="1"/>
  <c r="W10" i="1"/>
  <c r="AU10" i="1"/>
  <c r="AW10" i="1" s="1"/>
  <c r="AU27" i="1"/>
  <c r="AW27" i="1" s="1"/>
  <c r="W16" i="1"/>
  <c r="AU16" i="1"/>
  <c r="AW16" i="1" s="1"/>
  <c r="U7" i="1"/>
  <c r="T7" i="1"/>
  <c r="V7" i="1" s="1"/>
  <c r="AD34" i="1"/>
  <c r="AF34" i="1" s="1"/>
  <c r="AE34" i="1"/>
  <c r="AD25" i="1"/>
  <c r="AE25" i="1"/>
  <c r="M44" i="1"/>
  <c r="Q28" i="1"/>
  <c r="Q17" i="1"/>
  <c r="T5" i="1"/>
  <c r="U5" i="1"/>
  <c r="J51" i="1"/>
  <c r="J59" i="1" s="1"/>
  <c r="AE46" i="1"/>
  <c r="O25" i="1"/>
  <c r="O46" i="1" s="1"/>
  <c r="P25" i="1"/>
  <c r="O45" i="1"/>
  <c r="T24" i="1"/>
  <c r="V24" i="1" s="1"/>
  <c r="U24" i="1"/>
  <c r="AU29" i="1"/>
  <c r="AW29" i="1" s="1"/>
  <c r="AU5" i="1"/>
  <c r="AC46" i="1"/>
  <c r="U14" i="1"/>
  <c r="T14" i="1"/>
  <c r="V14" i="1" s="1"/>
  <c r="T27" i="1"/>
  <c r="U27" i="1"/>
  <c r="U26" i="1"/>
  <c r="T26" i="1"/>
  <c r="AH37" i="1"/>
  <c r="AU30" i="1"/>
  <c r="AW30" i="1" s="1"/>
  <c r="W30" i="1"/>
  <c r="AD10" i="1"/>
  <c r="AE10" i="1"/>
  <c r="AC42" i="1"/>
  <c r="Q12" i="1"/>
  <c r="T28" i="1"/>
  <c r="V28" i="1" s="1"/>
  <c r="U28" i="1"/>
  <c r="AA51" i="1"/>
  <c r="L42" i="1"/>
  <c r="L37" i="1"/>
  <c r="L38" i="1" s="1"/>
  <c r="Q9" i="1"/>
  <c r="S19" i="1"/>
  <c r="M19" i="1"/>
  <c r="M43" i="1" s="1"/>
  <c r="K43" i="1"/>
  <c r="AF35" i="1"/>
  <c r="AF49" i="1" s="1"/>
  <c r="AF41" i="1"/>
  <c r="Q11" i="1"/>
  <c r="P20" i="1"/>
  <c r="P43" i="1" s="1"/>
  <c r="O20" i="1"/>
  <c r="Q20" i="1" s="1"/>
  <c r="K69" i="1"/>
  <c r="L69" i="1" s="1"/>
  <c r="K82" i="1"/>
  <c r="K84" i="1" s="1"/>
  <c r="BO36" i="1"/>
  <c r="BP5" i="1"/>
  <c r="BP36" i="1" s="1"/>
  <c r="Q6" i="1"/>
  <c r="P41" i="1"/>
  <c r="AE43" i="1"/>
  <c r="L43" i="1"/>
  <c r="K42" i="1"/>
  <c r="AR9" i="1"/>
  <c r="M9" i="1"/>
  <c r="M42" i="1" s="1"/>
  <c r="S9" i="1"/>
  <c r="P33" i="1"/>
  <c r="P44" i="1" s="1"/>
  <c r="O33" i="1"/>
  <c r="J82" i="1"/>
  <c r="J84" i="1" s="1"/>
  <c r="L84" i="1" s="1"/>
  <c r="J69" i="1"/>
  <c r="V10" i="1"/>
  <c r="AU21" i="1"/>
  <c r="AW21" i="1" s="1"/>
  <c r="J73" i="1"/>
  <c r="J63" i="1"/>
  <c r="AD23" i="1"/>
  <c r="AF23" i="1" s="1"/>
  <c r="AE23" i="1"/>
  <c r="M25" i="1"/>
  <c r="AR25" i="1"/>
  <c r="M12" i="1"/>
  <c r="K58" i="1"/>
  <c r="S12" i="1"/>
  <c r="AR12" i="1"/>
  <c r="AR36" i="1" s="1"/>
  <c r="U22" i="1"/>
  <c r="T22" i="1"/>
  <c r="T13" i="1"/>
  <c r="V13" i="1" s="1"/>
  <c r="U13" i="1"/>
  <c r="Q56" i="1"/>
  <c r="Q49" i="1"/>
  <c r="AF20" i="1"/>
  <c r="Q14" i="1"/>
  <c r="AD33" i="1"/>
  <c r="AF33" i="1" s="1"/>
  <c r="AE33" i="1"/>
  <c r="AF26" i="1"/>
  <c r="AF47" i="1" s="1"/>
  <c r="AC43" i="1"/>
  <c r="Q13" i="1"/>
  <c r="P17" i="1"/>
  <c r="P45" i="1" s="1"/>
  <c r="O17" i="1"/>
  <c r="O37" i="1" s="1"/>
  <c r="O38" i="1" s="1"/>
  <c r="U17" i="1"/>
  <c r="V17" i="1" s="1"/>
  <c r="O22" i="1"/>
  <c r="Q22" i="1" s="1"/>
  <c r="P22" i="1"/>
  <c r="P12" i="1"/>
  <c r="P47" i="1"/>
  <c r="W15" i="1"/>
  <c r="AU15" i="1"/>
  <c r="AW15" i="1" s="1"/>
  <c r="AD16" i="1"/>
  <c r="AE16" i="1"/>
  <c r="AE45" i="1" s="1"/>
  <c r="AC45" i="1"/>
  <c r="S25" i="1"/>
  <c r="P34" i="1"/>
  <c r="O34" i="1"/>
  <c r="Q34" i="1" s="1"/>
  <c r="K46" i="1"/>
  <c r="P24" i="1"/>
  <c r="P46" i="1" s="1"/>
  <c r="M24" i="1"/>
  <c r="AR24" i="1"/>
  <c r="V16" i="1"/>
  <c r="P13" i="1"/>
  <c r="M13" i="1"/>
  <c r="AF24" i="1"/>
  <c r="AD46" i="1"/>
  <c r="K37" i="1"/>
  <c r="K38" i="1" s="1"/>
  <c r="M7" i="1"/>
  <c r="K41" i="1"/>
  <c r="P19" i="1"/>
  <c r="V29" i="1"/>
  <c r="W29" i="1" s="1"/>
  <c r="S21" i="1"/>
  <c r="L41" i="1"/>
  <c r="M46" i="1" l="1"/>
  <c r="Q24" i="1"/>
  <c r="U19" i="1"/>
  <c r="T19" i="1"/>
  <c r="V19" i="1" s="1"/>
  <c r="AU28" i="1"/>
  <c r="AW28" i="1" s="1"/>
  <c r="W28" i="1"/>
  <c r="P51" i="1"/>
  <c r="L51" i="1"/>
  <c r="K73" i="1"/>
  <c r="K63" i="1"/>
  <c r="U9" i="1"/>
  <c r="T9" i="1"/>
  <c r="V9" i="1" s="1"/>
  <c r="AU6" i="1"/>
  <c r="AW6" i="1" s="1"/>
  <c r="W6" i="1"/>
  <c r="W11" i="1"/>
  <c r="AU11" i="1"/>
  <c r="AW11" i="1" s="1"/>
  <c r="J61" i="1"/>
  <c r="J74" i="1"/>
  <c r="J76" i="1" s="1"/>
  <c r="AU17" i="1"/>
  <c r="AW17" i="1" s="1"/>
  <c r="W17" i="1"/>
  <c r="Q45" i="1"/>
  <c r="J65" i="1"/>
  <c r="J78" i="1"/>
  <c r="J80" i="1" s="1"/>
  <c r="AD42" i="1"/>
  <c r="AD51" i="1" s="1"/>
  <c r="AD37" i="1"/>
  <c r="AD38" i="1" s="1"/>
  <c r="AF10" i="1"/>
  <c r="U25" i="1"/>
  <c r="T25" i="1"/>
  <c r="V25" i="1" s="1"/>
  <c r="AF25" i="1"/>
  <c r="AF46" i="1" s="1"/>
  <c r="Q7" i="1"/>
  <c r="Q41" i="1" s="1"/>
  <c r="M37" i="1"/>
  <c r="M38" i="1" s="1"/>
  <c r="M41" i="1"/>
  <c r="M51" i="1" s="1"/>
  <c r="AF16" i="1"/>
  <c r="AF45" i="1" s="1"/>
  <c r="AD45" i="1"/>
  <c r="AU14" i="1"/>
  <c r="AW14" i="1" s="1"/>
  <c r="W14" i="1"/>
  <c r="AU12" i="1"/>
  <c r="AW12" i="1" s="1"/>
  <c r="AD43" i="1"/>
  <c r="O44" i="1"/>
  <c r="Q33" i="1"/>
  <c r="W20" i="1"/>
  <c r="AU20" i="1"/>
  <c r="AW20" i="1" s="1"/>
  <c r="AF43" i="1"/>
  <c r="U12" i="1"/>
  <c r="U37" i="1" s="1"/>
  <c r="U38" i="1" s="1"/>
  <c r="T12" i="1"/>
  <c r="O43" i="1"/>
  <c r="U21" i="1"/>
  <c r="T21" i="1"/>
  <c r="Q25" i="1"/>
  <c r="S37" i="1"/>
  <c r="S38" i="1" s="1"/>
  <c r="AU9" i="1"/>
  <c r="AW9" i="1" s="1"/>
  <c r="Q42" i="1"/>
  <c r="W9" i="1"/>
  <c r="Q54" i="1"/>
  <c r="AE42" i="1"/>
  <c r="AE51" i="1" s="1"/>
  <c r="AE37" i="1"/>
  <c r="AE38" i="1" s="1"/>
  <c r="V27" i="1"/>
  <c r="W27" i="1" s="1"/>
  <c r="AU13" i="1"/>
  <c r="AW13" i="1" s="1"/>
  <c r="W13" i="1"/>
  <c r="P37" i="1"/>
  <c r="P38" i="1" s="1"/>
  <c r="K51" i="1"/>
  <c r="K59" i="1" s="1"/>
  <c r="AU22" i="1"/>
  <c r="AW22" i="1" s="1"/>
  <c r="W22" i="1"/>
  <c r="V22" i="1"/>
  <c r="Q19" i="1"/>
  <c r="Q43" i="1" s="1"/>
  <c r="V26" i="1"/>
  <c r="W26" i="1" s="1"/>
  <c r="AW5" i="1"/>
  <c r="T37" i="1"/>
  <c r="T38" i="1" s="1"/>
  <c r="V5" i="1"/>
  <c r="AU25" i="1" l="1"/>
  <c r="AW25" i="1" s="1"/>
  <c r="W25" i="1"/>
  <c r="W5" i="1"/>
  <c r="V21" i="1"/>
  <c r="W21" i="1" s="1"/>
  <c r="W33" i="1"/>
  <c r="Q44" i="1"/>
  <c r="Q51" i="1" s="1"/>
  <c r="AU33" i="1"/>
  <c r="AW33" i="1" s="1"/>
  <c r="AF42" i="1"/>
  <c r="AF51" i="1" s="1"/>
  <c r="AF37" i="1"/>
  <c r="AF38" i="1" s="1"/>
  <c r="L76" i="1"/>
  <c r="K78" i="1"/>
  <c r="K80" i="1" s="1"/>
  <c r="L80" i="1" s="1"/>
  <c r="K65" i="1"/>
  <c r="L65" i="1" s="1"/>
  <c r="W19" i="1"/>
  <c r="AU19" i="1"/>
  <c r="AW19" i="1" s="1"/>
  <c r="K61" i="1"/>
  <c r="L61" i="1" s="1"/>
  <c r="K74" i="1"/>
  <c r="K76" i="1" s="1"/>
  <c r="O51" i="1"/>
  <c r="Q46" i="1"/>
  <c r="AU24" i="1"/>
  <c r="AW24" i="1" s="1"/>
  <c r="W24" i="1"/>
  <c r="V12" i="1"/>
  <c r="W12" i="1" s="1"/>
  <c r="W7" i="1"/>
  <c r="AU7" i="1"/>
  <c r="Q37" i="1"/>
  <c r="Q38" i="1" s="1"/>
  <c r="Q53" i="1"/>
  <c r="P55" i="1" l="1"/>
  <c r="Q57" i="1"/>
  <c r="W37" i="1"/>
  <c r="W38" i="1" s="1"/>
  <c r="V37" i="1"/>
  <c r="V38" i="1" s="1"/>
  <c r="AW7" i="1"/>
  <c r="AW36" i="1" s="1"/>
  <c r="AU36" i="1"/>
</calcChain>
</file>

<file path=xl/comments1.xml><?xml version="1.0" encoding="utf-8"?>
<comments xmlns="http://schemas.openxmlformats.org/spreadsheetml/2006/main">
  <authors>
    <author>award</author>
    <author>aosei</author>
    <author>gnicolini</author>
  </authors>
  <commentList>
    <comment ref="Q4" authorId="0" shapeId="0">
      <text>
        <r>
          <rPr>
            <b/>
            <sz val="8"/>
            <color indexed="81"/>
            <rFont val="Tahoma"/>
            <family val="2"/>
          </rPr>
          <t>award:</t>
        </r>
        <r>
          <rPr>
            <sz val="8"/>
            <color indexed="81"/>
            <rFont val="Tahoma"/>
            <family val="2"/>
          </rPr>
          <t xml:space="preserve">
Assumes 100% occupancy</t>
        </r>
      </text>
    </comment>
    <comment ref="AF4" authorId="0" shapeId="0">
      <text>
        <r>
          <rPr>
            <b/>
            <sz val="8"/>
            <color indexed="81"/>
            <rFont val="Tahoma"/>
            <family val="2"/>
          </rPr>
          <t>award:</t>
        </r>
        <r>
          <rPr>
            <sz val="8"/>
            <color indexed="81"/>
            <rFont val="Tahoma"/>
            <family val="2"/>
          </rPr>
          <t xml:space="preserve">
Assumes 100% occupancy</t>
        </r>
      </text>
    </comment>
    <comment ref="H6" authorId="0" shapeId="0">
      <text>
        <r>
          <rPr>
            <b/>
            <sz val="8"/>
            <color indexed="81"/>
            <rFont val="Tahoma"/>
            <family val="2"/>
          </rPr>
          <t>award:</t>
        </r>
        <r>
          <rPr>
            <sz val="8"/>
            <color indexed="81"/>
            <rFont val="Tahoma"/>
            <family val="2"/>
          </rPr>
          <t xml:space="preserve">
Need to equalise this</t>
        </r>
      </text>
    </comment>
    <comment ref="H7" authorId="0" shapeId="0">
      <text>
        <r>
          <rPr>
            <b/>
            <sz val="8"/>
            <color indexed="81"/>
            <rFont val="Tahoma"/>
            <family val="2"/>
          </rPr>
          <t>award:</t>
        </r>
        <r>
          <rPr>
            <sz val="8"/>
            <color indexed="81"/>
            <rFont val="Tahoma"/>
            <family val="2"/>
          </rPr>
          <t xml:space="preserve">
Need to equalise this</t>
        </r>
      </text>
    </comment>
    <comment ref="H12" authorId="0" shapeId="0">
      <text>
        <r>
          <rPr>
            <b/>
            <sz val="8"/>
            <color indexed="81"/>
            <rFont val="Tahoma"/>
            <family val="2"/>
          </rPr>
          <t>award:</t>
        </r>
        <r>
          <rPr>
            <sz val="8"/>
            <color indexed="81"/>
            <rFont val="Tahoma"/>
            <family val="2"/>
          </rPr>
          <t xml:space="preserve">
Need to equalise this.</t>
        </r>
      </text>
    </comment>
    <comment ref="BC13" authorId="1" shapeId="0">
      <text>
        <r>
          <rPr>
            <b/>
            <sz val="12"/>
            <color indexed="81"/>
            <rFont val="Arial"/>
            <family val="2"/>
          </rPr>
          <t>aosei:</t>
        </r>
        <r>
          <rPr>
            <sz val="12"/>
            <color indexed="81"/>
            <rFont val="Arial"/>
            <family val="2"/>
          </rPr>
          <t xml:space="preserve">
Includes start up funding at 2mths*place fund*capacity</t>
        </r>
      </text>
    </comment>
    <comment ref="BC14" authorId="1" shapeId="0">
      <text>
        <r>
          <rPr>
            <b/>
            <sz val="8"/>
            <color indexed="81"/>
            <rFont val="Tahoma"/>
            <family val="2"/>
          </rPr>
          <t>aosei:</t>
        </r>
        <r>
          <rPr>
            <sz val="8"/>
            <color indexed="81"/>
            <rFont val="Tahoma"/>
            <family val="2"/>
          </rPr>
          <t xml:space="preserve">
Includes start up funding at 2mths*place fund*capacity</t>
        </r>
      </text>
    </comment>
    <comment ref="H15" authorId="0" shapeId="0">
      <text>
        <r>
          <rPr>
            <b/>
            <sz val="8"/>
            <color indexed="81"/>
            <rFont val="Tahoma"/>
            <family val="2"/>
          </rPr>
          <t>award:</t>
        </r>
        <r>
          <rPr>
            <sz val="8"/>
            <color indexed="81"/>
            <rFont val="Tahoma"/>
            <family val="2"/>
          </rPr>
          <t xml:space="preserve">
Should be £20k
</t>
        </r>
      </text>
    </comment>
    <comment ref="H17" authorId="0" shapeId="0">
      <text>
        <r>
          <rPr>
            <b/>
            <sz val="8"/>
            <color indexed="81"/>
            <rFont val="Tahoma"/>
            <family val="2"/>
          </rPr>
          <t>award:</t>
        </r>
        <r>
          <rPr>
            <sz val="8"/>
            <color indexed="81"/>
            <rFont val="Tahoma"/>
            <family val="2"/>
          </rPr>
          <t xml:space="preserve">
Should be £20k</t>
        </r>
      </text>
    </comment>
    <comment ref="H19" authorId="0" shapeId="0">
      <text>
        <r>
          <rPr>
            <b/>
            <sz val="8"/>
            <color indexed="81"/>
            <rFont val="Tahoma"/>
            <family val="2"/>
          </rPr>
          <t>award:</t>
        </r>
        <r>
          <rPr>
            <sz val="8"/>
            <color indexed="81"/>
            <rFont val="Tahoma"/>
            <family val="2"/>
          </rPr>
          <t xml:space="preserve">
Set at £12,500</t>
        </r>
      </text>
    </comment>
    <comment ref="H26" authorId="0" shapeId="0">
      <text>
        <r>
          <rPr>
            <b/>
            <sz val="8"/>
            <color indexed="81"/>
            <rFont val="Tahoma"/>
            <family val="2"/>
          </rPr>
          <t>award:</t>
        </r>
        <r>
          <rPr>
            <sz val="8"/>
            <color indexed="81"/>
            <rFont val="Tahoma"/>
            <family val="2"/>
          </rPr>
          <t xml:space="preserve">
Should be £13k
</t>
        </r>
      </text>
    </comment>
    <comment ref="H27" authorId="0" shapeId="0">
      <text>
        <r>
          <rPr>
            <b/>
            <sz val="8"/>
            <color indexed="81"/>
            <rFont val="Tahoma"/>
            <family val="2"/>
          </rPr>
          <t>award:</t>
        </r>
        <r>
          <rPr>
            <sz val="8"/>
            <color indexed="81"/>
            <rFont val="Tahoma"/>
            <family val="2"/>
          </rPr>
          <t xml:space="preserve">
Should be £13k</t>
        </r>
      </text>
    </comment>
    <comment ref="K30" authorId="2" shapeId="0">
      <text>
        <r>
          <rPr>
            <b/>
            <sz val="8"/>
            <color indexed="81"/>
            <rFont val="Tahoma"/>
            <family val="2"/>
          </rPr>
          <t>gnicolini:</t>
        </r>
        <r>
          <rPr>
            <sz val="8"/>
            <color indexed="81"/>
            <rFont val="Tahoma"/>
            <family val="2"/>
          </rPr>
          <t xml:space="preserve">
either John perry, Monteagle or a new ARP</t>
        </r>
      </text>
    </comment>
    <comment ref="K31" authorId="2" shapeId="0">
      <text>
        <r>
          <rPr>
            <b/>
            <sz val="8"/>
            <color indexed="81"/>
            <rFont val="Tahoma"/>
            <family val="2"/>
          </rPr>
          <t>gnicolini:</t>
        </r>
        <r>
          <rPr>
            <sz val="8"/>
            <color indexed="81"/>
            <rFont val="Tahoma"/>
            <family val="2"/>
          </rPr>
          <t xml:space="preserve">
either John perry, Monteagle or a new ARP</t>
        </r>
      </text>
    </comment>
    <comment ref="I35" authorId="0" shapeId="0">
      <text>
        <r>
          <rPr>
            <b/>
            <sz val="8"/>
            <color indexed="81"/>
            <rFont val="Tahoma"/>
            <family val="2"/>
          </rPr>
          <t>award:</t>
        </r>
        <r>
          <rPr>
            <sz val="8"/>
            <color indexed="81"/>
            <rFont val="Tahoma"/>
            <family val="2"/>
          </rPr>
          <t xml:space="preserve">
Need to check this figure</t>
        </r>
      </text>
    </comment>
  </commentList>
</comments>
</file>

<file path=xl/sharedStrings.xml><?xml version="1.0" encoding="utf-8"?>
<sst xmlns="http://schemas.openxmlformats.org/spreadsheetml/2006/main" count="198" uniqueCount="124">
  <si>
    <t>2009-10</t>
  </si>
  <si>
    <t>2010-11</t>
  </si>
  <si>
    <t>2011-12</t>
  </si>
  <si>
    <t>DfE Number</t>
  </si>
  <si>
    <t>School</t>
  </si>
  <si>
    <t>Phase</t>
  </si>
  <si>
    <t>Type of ARP</t>
  </si>
  <si>
    <t>ARP 2012-13 Funding</t>
  </si>
  <si>
    <t>Places 2012-13</t>
  </si>
  <si>
    <t>Places FTE 2012-13</t>
  </si>
  <si>
    <t>£ per place 2012-13</t>
  </si>
  <si>
    <t>Equalised £ per place</t>
  </si>
  <si>
    <t>April - Aug Places 2013-14 (FTE)</t>
  </si>
  <si>
    <t>Sept - March Places 2013-14 (FTE)</t>
  </si>
  <si>
    <t>April - Aug Place funding</t>
  </si>
  <si>
    <t>Sept (July if new Provision) - March Place funding</t>
  </si>
  <si>
    <t>TOP UP FUNDING PER PLACE</t>
  </si>
  <si>
    <t>April to Aug Top up funding (total)</t>
  </si>
  <si>
    <t>Sept - March Top up funding (total)</t>
  </si>
  <si>
    <t>Total 2013-14 Funding</t>
  </si>
  <si>
    <t>GROWTH (FTE)</t>
  </si>
  <si>
    <t>Cost (per place funding)</t>
  </si>
  <si>
    <t>Cost (top up funding)</t>
  </si>
  <si>
    <t>TOTAL COST OF GROWTH IN 2013-14</t>
  </si>
  <si>
    <t>Reconcilaition</t>
  </si>
  <si>
    <t>April - Aug Places 2014-15 (FTE)</t>
  </si>
  <si>
    <t>Sept - March Places 2014-15 (FTE)</t>
  </si>
  <si>
    <t>Sept - March Place funding</t>
  </si>
  <si>
    <t>Total 2014-15 Funding</t>
  </si>
  <si>
    <t>Currnet funding at slightly adjusted rates</t>
  </si>
  <si>
    <t>Total carry forward</t>
  </si>
  <si>
    <t>surplus %</t>
  </si>
  <si>
    <t xml:space="preserve">Manor Infants </t>
  </si>
  <si>
    <t>Primary</t>
  </si>
  <si>
    <t>Autistic Spectrum Disorder (Primary)</t>
  </si>
  <si>
    <t xml:space="preserve">John Perry Primary </t>
  </si>
  <si>
    <t xml:space="preserve">Monteagle Primary </t>
  </si>
  <si>
    <t>George Carey</t>
  </si>
  <si>
    <t>..</t>
  </si>
  <si>
    <t>Jo Richardson Com Sch</t>
  </si>
  <si>
    <t>Secondary</t>
  </si>
  <si>
    <t>Autistic Spectrum Disorder (Secondary)</t>
  </si>
  <si>
    <t>Sydney Russell Comp</t>
  </si>
  <si>
    <t>The James Cambell Primary</t>
  </si>
  <si>
    <t>Emotional Behvioural Difficulties</t>
  </si>
  <si>
    <t>Ripple Primary</t>
  </si>
  <si>
    <t xml:space="preserve">Five Elms Primary </t>
  </si>
  <si>
    <t>Hearing Impaired</t>
  </si>
  <si>
    <t xml:space="preserve">Eastbury Comp </t>
  </si>
  <si>
    <t xml:space="preserve">Trinity Special </t>
  </si>
  <si>
    <t>Special</t>
  </si>
  <si>
    <t>Living and Learning centre</t>
  </si>
  <si>
    <t xml:space="preserve">Dorothy Barley Junior </t>
  </si>
  <si>
    <t>moderate learning difficulties/ severe learning difficulties</t>
  </si>
  <si>
    <t xml:space="preserve">Richard Alibon Primary </t>
  </si>
  <si>
    <t>Dagenham Park CofE</t>
  </si>
  <si>
    <t xml:space="preserve">Warren Comp </t>
  </si>
  <si>
    <t xml:space="preserve">Godwin Primary </t>
  </si>
  <si>
    <t>Nursery</t>
  </si>
  <si>
    <t>Valence Primary</t>
  </si>
  <si>
    <t xml:space="preserve">Hunters Hall Primary </t>
  </si>
  <si>
    <t>Speech and Language</t>
  </si>
  <si>
    <t>New MLD + SLD Provision (Primary)</t>
  </si>
  <si>
    <t>moderate learning difficulties/ severe learning difficulties (Roding)</t>
  </si>
  <si>
    <t>New BESD Provision (Secondary)</t>
  </si>
  <si>
    <t>New ASD Provision (Primary)</t>
  </si>
  <si>
    <t>New ASD Provision (Secondary)</t>
  </si>
  <si>
    <t>New S&amp;L Provision (Primary)</t>
  </si>
  <si>
    <t>New BESD Provision primary</t>
  </si>
  <si>
    <t>Emotional Behvioural Difficulties (william Bellamy)</t>
  </si>
  <si>
    <t>New Hearing Impaired</t>
  </si>
  <si>
    <t>New Seabrook</t>
  </si>
  <si>
    <t>?</t>
  </si>
  <si>
    <t>not including Seabrook</t>
  </si>
  <si>
    <t>Summary</t>
  </si>
  <si>
    <t>Trinity</t>
  </si>
  <si>
    <t>Seabrook House</t>
  </si>
  <si>
    <t>Include as part of PRU?</t>
  </si>
  <si>
    <t>Excluded from £1,500 top up as highlighted</t>
  </si>
  <si>
    <t xml:space="preserve">Net </t>
  </si>
  <si>
    <t>Additional funding at risk if adding £1,500 to top up - All school except highlighted</t>
  </si>
  <si>
    <t>just existing provisions</t>
  </si>
  <si>
    <t>just primary schools</t>
  </si>
  <si>
    <t>All at just £1000</t>
  </si>
  <si>
    <t>just existing provisions at £1,000</t>
  </si>
  <si>
    <t>just primary schools at £1,000</t>
  </si>
  <si>
    <t>St Peter's</t>
  </si>
  <si>
    <t>William Bellamy</t>
  </si>
  <si>
    <t>Eastbury Prim (Satellite)</t>
  </si>
  <si>
    <t>2012-13 FTE</t>
  </si>
  <si>
    <t>2012-13 Funding</t>
  </si>
  <si>
    <t>2013-14 Planned FTE</t>
  </si>
  <si>
    <t>2013-14 Revised Capacity FTE</t>
  </si>
  <si>
    <t>2013-14 Average Actual FTE</t>
  </si>
  <si>
    <t>2014-15 Apr-Aug places</t>
  </si>
  <si>
    <t>2014-15 Sep-Mar places</t>
  </si>
  <si>
    <t>2014-15 Apr-Aug Place Funding</t>
  </si>
  <si>
    <t>2014-15 Apr-Aug Top-Up</t>
  </si>
  <si>
    <t>2014-15 Sep-Mar Top-up</t>
  </si>
  <si>
    <t>Total Funding</t>
  </si>
  <si>
    <t>2014-15 FTE</t>
  </si>
  <si>
    <t>Eastbrook Comp  SLCNs</t>
  </si>
  <si>
    <t>Eastbrook Comp  BESD</t>
  </si>
  <si>
    <t>Notes</t>
  </si>
  <si>
    <t>2013-14 Budget</t>
  </si>
  <si>
    <t>2013-14 Forecast</t>
  </si>
  <si>
    <t>2013-14 variance</t>
  </si>
  <si>
    <r>
      <t xml:space="preserve">2014-15 Sep-Mar Place Funding </t>
    </r>
    <r>
      <rPr>
        <vertAlign val="superscript"/>
        <sz val="11"/>
        <color indexed="8"/>
        <rFont val="Calibri"/>
        <family val="2"/>
      </rPr>
      <t>(2)</t>
    </r>
  </si>
  <si>
    <r>
      <t>Cost Per Place</t>
    </r>
    <r>
      <rPr>
        <vertAlign val="superscript"/>
        <sz val="11"/>
        <color indexed="8"/>
        <rFont val="Calibri"/>
        <family val="2"/>
      </rPr>
      <t xml:space="preserve"> (1)</t>
    </r>
  </si>
  <si>
    <t>Change in Budget</t>
  </si>
  <si>
    <t>2013-14 Budgets and Forecasts</t>
  </si>
  <si>
    <t>2014-15 Budget Estimates</t>
  </si>
  <si>
    <t>ARP - Current funding, profiled growth and top up calculations - 2014/15 numbers tie to submission to DfE/EFA.</t>
  </si>
  <si>
    <t>2015-16 Budget Estimates</t>
  </si>
  <si>
    <t>2015-16 Apr-Aug places</t>
  </si>
  <si>
    <t>2015-16 Sep-Mar places</t>
  </si>
  <si>
    <t>2015-16 FTE</t>
  </si>
  <si>
    <t>2015-16 Apr-Aug Place Funding</t>
  </si>
  <si>
    <t>2015-16 Sep-Mar Place Funding (2)</t>
  </si>
  <si>
    <t>2015-16 Apr-Aug Top-Up</t>
  </si>
  <si>
    <t>2015-16 Sep-Mar Top-up</t>
  </si>
  <si>
    <t>ARP Provision Forecast 2015-16</t>
  </si>
  <si>
    <t>1. September place funding includes 2 months additional place funding per place for new ARPs only</t>
  </si>
  <si>
    <t>Appendix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</si>
</sst>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1" formatCode="_-* #,##0.00_-;\-* #,##0.00_-;_-* &quot;-&quot;??_-;_-@_-"/>
    <numFmt numFmtId="172" formatCode="_-* #,##0_-;\-* #,##0_-;_-* &quot;-&quot;??_-;_-@_-"/>
    <numFmt numFmtId="173" formatCode="#,##0\ &quot;top up as AWPU reduced&quot;"/>
    <numFmt numFmtId="174" formatCode="#,##0;[Red]\(#,##0\)"/>
  </numFmts>
  <fonts count="12">
    <font>
      <sz val="11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vertAlign val="superscript"/>
      <sz val="11"/>
      <color indexed="8"/>
      <name val="Calibri"/>
      <family val="2"/>
    </font>
    <font>
      <b/>
      <sz val="12"/>
      <color indexed="81"/>
      <name val="Arial"/>
      <family val="2"/>
    </font>
    <font>
      <sz val="12"/>
      <color indexed="81"/>
      <name val="Arial"/>
      <family val="2"/>
    </font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66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71" fontId="6" fillId="0" borderId="0" applyFont="0" applyFill="0" applyBorder="0" applyAlignment="0" applyProtection="0"/>
  </cellStyleXfs>
  <cellXfs count="193">
    <xf numFmtId="0" fontId="0" fillId="0" borderId="0" xfId="0"/>
    <xf numFmtId="0" fontId="0" fillId="0" borderId="0" xfId="0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/>
    <xf numFmtId="172" fontId="6" fillId="0" borderId="0" xfId="1" applyNumberFormat="1" applyFont="1"/>
    <xf numFmtId="172" fontId="8" fillId="0" borderId="0" xfId="1" applyNumberFormat="1" applyFont="1"/>
    <xf numFmtId="172" fontId="9" fillId="0" borderId="0" xfId="1" applyNumberFormat="1" applyFont="1"/>
    <xf numFmtId="10" fontId="0" fillId="0" borderId="0" xfId="0" applyNumberFormat="1"/>
    <xf numFmtId="0" fontId="10" fillId="0" borderId="0" xfId="0" applyFont="1" applyAlignment="1">
      <alignment vertical="top"/>
    </xf>
    <xf numFmtId="0" fontId="0" fillId="0" borderId="1" xfId="0" applyBorder="1" applyAlignment="1">
      <alignment horizontal="right"/>
    </xf>
    <xf numFmtId="0" fontId="8" fillId="0" borderId="2" xfId="0" applyFont="1" applyBorder="1"/>
    <xf numFmtId="0" fontId="8" fillId="0" borderId="3" xfId="0" applyFont="1" applyBorder="1"/>
    <xf numFmtId="10" fontId="8" fillId="0" borderId="4" xfId="0" applyNumberFormat="1" applyFont="1" applyBorder="1"/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172" fontId="8" fillId="2" borderId="5" xfId="1" applyNumberFormat="1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172" fontId="6" fillId="2" borderId="5" xfId="1" applyNumberFormat="1" applyFon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172" fontId="6" fillId="3" borderId="5" xfId="1" applyNumberFormat="1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172" fontId="8" fillId="3" borderId="5" xfId="1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72" fontId="6" fillId="0" borderId="5" xfId="1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172" fontId="6" fillId="5" borderId="5" xfId="1" applyNumberFormat="1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172" fontId="8" fillId="5" borderId="5" xfId="1" applyNumberFormat="1" applyFont="1" applyFill="1" applyBorder="1" applyAlignment="1">
      <alignment horizontal="center" vertical="center" wrapText="1"/>
    </xf>
    <xf numFmtId="172" fontId="9" fillId="0" borderId="0" xfId="1" applyNumberFormat="1" applyFont="1" applyAlignment="1">
      <alignment wrapText="1"/>
    </xf>
    <xf numFmtId="0" fontId="8" fillId="0" borderId="8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8" fillId="0" borderId="9" xfId="0" applyFont="1" applyBorder="1" applyAlignment="1">
      <alignment wrapText="1"/>
    </xf>
    <xf numFmtId="10" fontId="8" fillId="0" borderId="10" xfId="0" applyNumberFormat="1" applyFont="1" applyBorder="1" applyAlignment="1">
      <alignment wrapText="1"/>
    </xf>
    <xf numFmtId="10" fontId="8" fillId="0" borderId="11" xfId="0" applyNumberFormat="1" applyFont="1" applyBorder="1" applyAlignment="1">
      <alignment wrapText="1"/>
    </xf>
    <xf numFmtId="0" fontId="0" fillId="0" borderId="3" xfId="0" applyBorder="1"/>
    <xf numFmtId="172" fontId="6" fillId="2" borderId="2" xfId="1" applyNumberFormat="1" applyFont="1" applyFill="1" applyBorder="1"/>
    <xf numFmtId="0" fontId="0" fillId="2" borderId="3" xfId="0" applyFill="1" applyBorder="1"/>
    <xf numFmtId="172" fontId="6" fillId="2" borderId="3" xfId="1" applyNumberFormat="1" applyFont="1" applyFill="1" applyBorder="1"/>
    <xf numFmtId="172" fontId="6" fillId="2" borderId="4" xfId="1" applyNumberFormat="1" applyFont="1" applyFill="1" applyBorder="1"/>
    <xf numFmtId="0" fontId="0" fillId="3" borderId="2" xfId="0" applyFill="1" applyBorder="1"/>
    <xf numFmtId="0" fontId="0" fillId="3" borderId="4" xfId="0" applyFill="1" applyBorder="1"/>
    <xf numFmtId="172" fontId="6" fillId="3" borderId="2" xfId="1" applyNumberFormat="1" applyFont="1" applyFill="1" applyBorder="1"/>
    <xf numFmtId="172" fontId="6" fillId="3" borderId="4" xfId="1" applyNumberFormat="1" applyFont="1" applyFill="1" applyBorder="1"/>
    <xf numFmtId="172" fontId="8" fillId="3" borderId="12" xfId="0" applyNumberFormat="1" applyFont="1" applyFill="1" applyBorder="1"/>
    <xf numFmtId="172" fontId="0" fillId="3" borderId="3" xfId="0" applyNumberFormat="1" applyFill="1" applyBorder="1"/>
    <xf numFmtId="172" fontId="8" fillId="3" borderId="12" xfId="1" applyNumberFormat="1" applyFont="1" applyFill="1" applyBorder="1"/>
    <xf numFmtId="172" fontId="0" fillId="0" borderId="0" xfId="0" applyNumberFormat="1"/>
    <xf numFmtId="0" fontId="0" fillId="5" borderId="9" xfId="0" applyFill="1" applyBorder="1"/>
    <xf numFmtId="0" fontId="0" fillId="5" borderId="0" xfId="0" applyFill="1" applyBorder="1"/>
    <xf numFmtId="172" fontId="6" fillId="5" borderId="0" xfId="1" applyNumberFormat="1" applyFont="1" applyFill="1" applyBorder="1"/>
    <xf numFmtId="172" fontId="8" fillId="5" borderId="0" xfId="0" applyNumberFormat="1" applyFont="1" applyFill="1" applyBorder="1"/>
    <xf numFmtId="172" fontId="0" fillId="5" borderId="0" xfId="0" applyNumberFormat="1" applyFill="1" applyBorder="1"/>
    <xf numFmtId="172" fontId="8" fillId="5" borderId="10" xfId="1" applyNumberFormat="1" applyFont="1" applyFill="1" applyBorder="1"/>
    <xf numFmtId="174" fontId="11" fillId="0" borderId="9" xfId="0" applyNumberFormat="1" applyFont="1" applyBorder="1" applyAlignment="1">
      <alignment horizontal="right"/>
    </xf>
    <xf numFmtId="10" fontId="11" fillId="0" borderId="0" xfId="0" applyNumberFormat="1" applyFont="1" applyBorder="1" applyAlignment="1">
      <alignment horizontal="right"/>
    </xf>
    <xf numFmtId="10" fontId="11" fillId="0" borderId="10" xfId="0" applyNumberFormat="1" applyFont="1" applyBorder="1" applyAlignment="1">
      <alignment horizontal="right"/>
    </xf>
    <xf numFmtId="174" fontId="11" fillId="0" borderId="0" xfId="0" applyNumberFormat="1" applyFont="1" applyBorder="1" applyAlignment="1">
      <alignment horizontal="right"/>
    </xf>
    <xf numFmtId="0" fontId="8" fillId="0" borderId="9" xfId="0" applyFont="1" applyBorder="1"/>
    <xf numFmtId="0" fontId="8" fillId="0" borderId="0" xfId="0" applyFont="1" applyBorder="1"/>
    <xf numFmtId="0" fontId="0" fillId="0" borderId="0" xfId="0" applyBorder="1"/>
    <xf numFmtId="172" fontId="6" fillId="2" borderId="9" xfId="1" applyNumberFormat="1" applyFont="1" applyFill="1" applyBorder="1"/>
    <xf numFmtId="0" fontId="0" fillId="2" borderId="0" xfId="0" applyFill="1" applyBorder="1"/>
    <xf numFmtId="172" fontId="6" fillId="2" borderId="0" xfId="1" applyNumberFormat="1" applyFont="1" applyFill="1" applyBorder="1"/>
    <xf numFmtId="172" fontId="6" fillId="2" borderId="10" xfId="1" applyNumberFormat="1" applyFont="1" applyFill="1" applyBorder="1"/>
    <xf numFmtId="0" fontId="0" fillId="3" borderId="9" xfId="0" applyFill="1" applyBorder="1"/>
    <xf numFmtId="0" fontId="0" fillId="3" borderId="10" xfId="0" applyFill="1" applyBorder="1"/>
    <xf numFmtId="172" fontId="6" fillId="3" borderId="9" xfId="1" applyNumberFormat="1" applyFont="1" applyFill="1" applyBorder="1"/>
    <xf numFmtId="172" fontId="6" fillId="3" borderId="10" xfId="1" applyNumberFormat="1" applyFont="1" applyFill="1" applyBorder="1"/>
    <xf numFmtId="172" fontId="8" fillId="3" borderId="13" xfId="0" applyNumberFormat="1" applyFont="1" applyFill="1" applyBorder="1"/>
    <xf numFmtId="172" fontId="0" fillId="3" borderId="0" xfId="0" applyNumberFormat="1" applyFill="1" applyBorder="1"/>
    <xf numFmtId="172" fontId="8" fillId="3" borderId="13" xfId="1" applyNumberFormat="1" applyFont="1" applyFill="1" applyBorder="1"/>
    <xf numFmtId="174" fontId="0" fillId="0" borderId="9" xfId="0" applyNumberFormat="1" applyFont="1" applyBorder="1"/>
    <xf numFmtId="10" fontId="0" fillId="0" borderId="0" xfId="0" applyNumberFormat="1" applyFont="1" applyBorder="1"/>
    <xf numFmtId="10" fontId="0" fillId="0" borderId="10" xfId="0" applyNumberFormat="1" applyFont="1" applyBorder="1"/>
    <xf numFmtId="174" fontId="0" fillId="0" borderId="0" xfId="0" applyNumberFormat="1" applyFont="1" applyBorder="1"/>
    <xf numFmtId="0" fontId="8" fillId="0" borderId="8" xfId="0" applyFont="1" applyBorder="1"/>
    <xf numFmtId="0" fontId="8" fillId="0" borderId="1" xfId="0" applyFont="1" applyBorder="1"/>
    <xf numFmtId="0" fontId="0" fillId="0" borderId="1" xfId="0" applyBorder="1"/>
    <xf numFmtId="172" fontId="6" fillId="2" borderId="8" xfId="1" applyNumberFormat="1" applyFont="1" applyFill="1" applyBorder="1"/>
    <xf numFmtId="0" fontId="0" fillId="2" borderId="1" xfId="0" applyFill="1" applyBorder="1"/>
    <xf numFmtId="172" fontId="6" fillId="2" borderId="1" xfId="1" applyNumberFormat="1" applyFont="1" applyFill="1" applyBorder="1"/>
    <xf numFmtId="172" fontId="6" fillId="2" borderId="11" xfId="1" applyNumberFormat="1" applyFont="1" applyFill="1" applyBorder="1"/>
    <xf numFmtId="0" fontId="0" fillId="3" borderId="8" xfId="0" applyFill="1" applyBorder="1"/>
    <xf numFmtId="0" fontId="0" fillId="3" borderId="11" xfId="0" applyFill="1" applyBorder="1"/>
    <xf numFmtId="172" fontId="6" fillId="3" borderId="8" xfId="1" applyNumberFormat="1" applyFont="1" applyFill="1" applyBorder="1"/>
    <xf numFmtId="172" fontId="6" fillId="3" borderId="11" xfId="1" applyNumberFormat="1" applyFont="1" applyFill="1" applyBorder="1"/>
    <xf numFmtId="172" fontId="8" fillId="3" borderId="14" xfId="0" applyNumberFormat="1" applyFont="1" applyFill="1" applyBorder="1"/>
    <xf numFmtId="172" fontId="0" fillId="3" borderId="1" xfId="0" applyNumberFormat="1" applyFill="1" applyBorder="1"/>
    <xf numFmtId="172" fontId="8" fillId="3" borderId="14" xfId="1" applyNumberFormat="1" applyFont="1" applyFill="1" applyBorder="1"/>
    <xf numFmtId="172" fontId="6" fillId="4" borderId="4" xfId="1" applyNumberFormat="1" applyFont="1" applyFill="1" applyBorder="1"/>
    <xf numFmtId="172" fontId="6" fillId="4" borderId="10" xfId="1" applyNumberFormat="1" applyFont="1" applyFill="1" applyBorder="1"/>
    <xf numFmtId="0" fontId="0" fillId="0" borderId="10" xfId="0" applyBorder="1"/>
    <xf numFmtId="0" fontId="0" fillId="0" borderId="4" xfId="0" applyBorder="1"/>
    <xf numFmtId="0" fontId="0" fillId="0" borderId="9" xfId="0" applyBorder="1"/>
    <xf numFmtId="10" fontId="0" fillId="0" borderId="10" xfId="0" applyNumberFormat="1" applyBorder="1"/>
    <xf numFmtId="174" fontId="0" fillId="0" borderId="9" xfId="0" applyNumberFormat="1" applyBorder="1"/>
    <xf numFmtId="174" fontId="0" fillId="0" borderId="0" xfId="0" applyNumberFormat="1" applyBorder="1"/>
    <xf numFmtId="0" fontId="0" fillId="0" borderId="11" xfId="0" applyFill="1" applyBorder="1"/>
    <xf numFmtId="172" fontId="6" fillId="4" borderId="11" xfId="1" applyNumberFormat="1" applyFont="1" applyFill="1" applyBorder="1"/>
    <xf numFmtId="0" fontId="0" fillId="2" borderId="9" xfId="0" applyFill="1" applyBorder="1"/>
    <xf numFmtId="0" fontId="8" fillId="3" borderId="13" xfId="0" applyFont="1" applyFill="1" applyBorder="1"/>
    <xf numFmtId="0" fontId="0" fillId="3" borderId="0" xfId="0" applyFill="1" applyBorder="1"/>
    <xf numFmtId="0" fontId="8" fillId="5" borderId="0" xfId="0" applyFont="1" applyFill="1" applyBorder="1"/>
    <xf numFmtId="172" fontId="8" fillId="2" borderId="5" xfId="0" applyNumberFormat="1" applyFont="1" applyFill="1" applyBorder="1"/>
    <xf numFmtId="0" fontId="8" fillId="2" borderId="5" xfId="0" applyFont="1" applyFill="1" applyBorder="1"/>
    <xf numFmtId="172" fontId="8" fillId="2" borderId="5" xfId="1" applyNumberFormat="1" applyFont="1" applyFill="1" applyBorder="1"/>
    <xf numFmtId="0" fontId="8" fillId="3" borderId="6" xfId="0" applyFont="1" applyFill="1" applyBorder="1"/>
    <xf numFmtId="0" fontId="8" fillId="3" borderId="7" xfId="0" applyFont="1" applyFill="1" applyBorder="1"/>
    <xf numFmtId="172" fontId="8" fillId="3" borderId="6" xfId="1" applyNumberFormat="1" applyFont="1" applyFill="1" applyBorder="1"/>
    <xf numFmtId="172" fontId="8" fillId="3" borderId="7" xfId="1" applyNumberFormat="1" applyFont="1" applyFill="1" applyBorder="1"/>
    <xf numFmtId="172" fontId="8" fillId="3" borderId="5" xfId="1" applyNumberFormat="1" applyFont="1" applyFill="1" applyBorder="1"/>
    <xf numFmtId="172" fontId="8" fillId="3" borderId="15" xfId="1" applyNumberFormat="1" applyFont="1" applyFill="1" applyBorder="1"/>
    <xf numFmtId="172" fontId="6" fillId="0" borderId="5" xfId="1" applyNumberFormat="1" applyFont="1" applyBorder="1"/>
    <xf numFmtId="172" fontId="8" fillId="4" borderId="5" xfId="1" applyNumberFormat="1" applyFont="1" applyFill="1" applyBorder="1"/>
    <xf numFmtId="0" fontId="8" fillId="5" borderId="5" xfId="0" applyFont="1" applyFill="1" applyBorder="1"/>
    <xf numFmtId="172" fontId="8" fillId="5" borderId="5" xfId="1" applyNumberFormat="1" applyFont="1" applyFill="1" applyBorder="1"/>
    <xf numFmtId="0" fontId="0" fillId="0" borderId="8" xfId="0" applyBorder="1"/>
    <xf numFmtId="10" fontId="0" fillId="0" borderId="11" xfId="0" applyNumberFormat="1" applyBorder="1"/>
    <xf numFmtId="0" fontId="8" fillId="0" borderId="6" xfId="0" applyFont="1" applyBorder="1"/>
    <xf numFmtId="0" fontId="0" fillId="0" borderId="15" xfId="0" applyBorder="1"/>
    <xf numFmtId="172" fontId="6" fillId="0" borderId="15" xfId="1" applyNumberFormat="1" applyFont="1" applyBorder="1"/>
    <xf numFmtId="0" fontId="0" fillId="0" borderId="6" xfId="0" applyBorder="1"/>
    <xf numFmtId="172" fontId="6" fillId="0" borderId="7" xfId="1" applyNumberFormat="1" applyFont="1" applyBorder="1"/>
    <xf numFmtId="0" fontId="8" fillId="0" borderId="5" xfId="0" applyFont="1" applyBorder="1"/>
    <xf numFmtId="172" fontId="8" fillId="0" borderId="5" xfId="1" applyNumberFormat="1" applyFont="1" applyBorder="1"/>
    <xf numFmtId="172" fontId="6" fillId="0" borderId="0" xfId="1" applyNumberFormat="1" applyFont="1" applyBorder="1"/>
    <xf numFmtId="172" fontId="8" fillId="0" borderId="13" xfId="1" applyNumberFormat="1" applyFont="1" applyBorder="1"/>
    <xf numFmtId="171" fontId="6" fillId="0" borderId="0" xfId="1" applyNumberFormat="1" applyFont="1"/>
    <xf numFmtId="0" fontId="8" fillId="0" borderId="13" xfId="0" applyFont="1" applyBorder="1"/>
    <xf numFmtId="172" fontId="8" fillId="0" borderId="5" xfId="0" applyNumberFormat="1" applyFont="1" applyBorder="1"/>
    <xf numFmtId="172" fontId="8" fillId="2" borderId="6" xfId="1" applyNumberFormat="1" applyFont="1" applyFill="1" applyBorder="1"/>
    <xf numFmtId="172" fontId="8" fillId="4" borderId="0" xfId="1" applyNumberFormat="1" applyFont="1" applyFill="1"/>
    <xf numFmtId="172" fontId="8" fillId="4" borderId="16" xfId="1" applyNumberFormat="1" applyFont="1" applyFill="1" applyBorder="1"/>
    <xf numFmtId="172" fontId="6" fillId="0" borderId="0" xfId="1" applyNumberFormat="1" applyFont="1" applyAlignment="1">
      <alignment horizontal="right"/>
    </xf>
    <xf numFmtId="172" fontId="8" fillId="0" borderId="0" xfId="1" applyNumberFormat="1" applyFont="1" applyAlignment="1">
      <alignment horizontal="right"/>
    </xf>
    <xf numFmtId="172" fontId="6" fillId="0" borderId="0" xfId="1" applyNumberFormat="1" applyFont="1" applyAlignment="1"/>
    <xf numFmtId="172" fontId="8" fillId="0" borderId="0" xfId="1" applyNumberFormat="1" applyFont="1" applyAlignment="1"/>
    <xf numFmtId="172" fontId="6" fillId="4" borderId="0" xfId="1" applyNumberFormat="1" applyFont="1" applyFill="1" applyBorder="1"/>
    <xf numFmtId="0" fontId="0" fillId="6" borderId="0" xfId="0" applyFill="1" applyAlignment="1">
      <alignment wrapText="1"/>
    </xf>
    <xf numFmtId="171" fontId="6" fillId="6" borderId="0" xfId="1" applyFont="1" applyFill="1"/>
    <xf numFmtId="0" fontId="0" fillId="6" borderId="0" xfId="0" applyFill="1"/>
    <xf numFmtId="172" fontId="8" fillId="6" borderId="17" xfId="0" applyNumberFormat="1" applyFont="1" applyFill="1" applyBorder="1"/>
    <xf numFmtId="172" fontId="8" fillId="7" borderId="17" xfId="0" applyNumberFormat="1" applyFont="1" applyFill="1" applyBorder="1"/>
    <xf numFmtId="172" fontId="8" fillId="0" borderId="17" xfId="0" applyNumberFormat="1" applyFont="1" applyBorder="1"/>
    <xf numFmtId="0" fontId="0" fillId="0" borderId="0" xfId="0" applyFill="1"/>
    <xf numFmtId="0" fontId="0" fillId="0" borderId="0" xfId="0" applyFill="1" applyAlignment="1">
      <alignment wrapText="1"/>
    </xf>
    <xf numFmtId="37" fontId="6" fillId="0" borderId="0" xfId="1" applyNumberFormat="1" applyFont="1" applyFill="1"/>
    <xf numFmtId="172" fontId="8" fillId="0" borderId="17" xfId="0" applyNumberFormat="1" applyFont="1" applyFill="1" applyBorder="1"/>
    <xf numFmtId="172" fontId="6" fillId="6" borderId="0" xfId="1" applyNumberFormat="1" applyFont="1" applyFill="1"/>
    <xf numFmtId="0" fontId="0" fillId="0" borderId="18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9" xfId="0" applyBorder="1" applyAlignment="1">
      <alignment wrapText="1"/>
    </xf>
    <xf numFmtId="171" fontId="6" fillId="0" borderId="18" xfId="1" applyFont="1" applyBorder="1"/>
    <xf numFmtId="171" fontId="6" fillId="0" borderId="0" xfId="1" applyFont="1" applyBorder="1"/>
    <xf numFmtId="172" fontId="6" fillId="0" borderId="19" xfId="1" applyNumberFormat="1" applyFont="1" applyBorder="1"/>
    <xf numFmtId="171" fontId="6" fillId="8" borderId="18" xfId="1" applyFont="1" applyFill="1" applyBorder="1"/>
    <xf numFmtId="171" fontId="6" fillId="0" borderId="19" xfId="1" applyFont="1" applyBorder="1"/>
    <xf numFmtId="0" fontId="0" fillId="0" borderId="18" xfId="0" applyBorder="1"/>
    <xf numFmtId="0" fontId="0" fillId="0" borderId="19" xfId="0" applyBorder="1"/>
    <xf numFmtId="172" fontId="8" fillId="0" borderId="20" xfId="0" applyNumberFormat="1" applyFont="1" applyBorder="1"/>
    <xf numFmtId="172" fontId="8" fillId="0" borderId="21" xfId="0" applyNumberFormat="1" applyFont="1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7" borderId="18" xfId="0" applyFill="1" applyBorder="1" applyAlignment="1">
      <alignment wrapText="1"/>
    </xf>
    <xf numFmtId="0" fontId="0" fillId="7" borderId="0" xfId="0" applyFill="1" applyBorder="1" applyAlignment="1">
      <alignment wrapText="1"/>
    </xf>
    <xf numFmtId="0" fontId="0" fillId="7" borderId="19" xfId="0" applyFill="1" applyBorder="1" applyAlignment="1">
      <alignment wrapText="1"/>
    </xf>
    <xf numFmtId="171" fontId="6" fillId="7" borderId="18" xfId="1" applyFont="1" applyFill="1" applyBorder="1"/>
    <xf numFmtId="171" fontId="6" fillId="7" borderId="0" xfId="1" applyFont="1" applyFill="1" applyBorder="1"/>
    <xf numFmtId="172" fontId="6" fillId="7" borderId="0" xfId="1" applyNumberFormat="1" applyFont="1" applyFill="1" applyBorder="1"/>
    <xf numFmtId="37" fontId="6" fillId="7" borderId="19" xfId="1" applyNumberFormat="1" applyFont="1" applyFill="1" applyBorder="1"/>
    <xf numFmtId="0" fontId="0" fillId="7" borderId="18" xfId="0" applyFill="1" applyBorder="1"/>
    <xf numFmtId="0" fontId="0" fillId="7" borderId="0" xfId="0" applyFill="1" applyBorder="1"/>
    <xf numFmtId="172" fontId="0" fillId="7" borderId="0" xfId="0" applyNumberFormat="1" applyFill="1" applyBorder="1"/>
    <xf numFmtId="172" fontId="0" fillId="7" borderId="19" xfId="0" applyNumberFormat="1" applyFill="1" applyBorder="1"/>
    <xf numFmtId="172" fontId="8" fillId="7" borderId="20" xfId="0" applyNumberFormat="1" applyFont="1" applyFill="1" applyBorder="1"/>
    <xf numFmtId="172" fontId="8" fillId="7" borderId="21" xfId="0" applyNumberFormat="1" applyFont="1" applyFill="1" applyBorder="1"/>
    <xf numFmtId="0" fontId="0" fillId="9" borderId="18" xfId="0" applyFill="1" applyBorder="1" applyAlignment="1">
      <alignment wrapText="1"/>
    </xf>
    <xf numFmtId="0" fontId="0" fillId="9" borderId="0" xfId="0" applyFill="1" applyBorder="1" applyAlignment="1">
      <alignment wrapText="1"/>
    </xf>
    <xf numFmtId="171" fontId="6" fillId="9" borderId="18" xfId="1" applyFont="1" applyFill="1" applyBorder="1"/>
    <xf numFmtId="171" fontId="6" fillId="9" borderId="0" xfId="1" applyFont="1" applyFill="1" applyBorder="1"/>
    <xf numFmtId="171" fontId="6" fillId="4" borderId="18" xfId="1" applyFont="1" applyFill="1" applyBorder="1"/>
    <xf numFmtId="172" fontId="6" fillId="10" borderId="0" xfId="1" applyNumberFormat="1" applyFont="1" applyFill="1" applyBorder="1"/>
    <xf numFmtId="0" fontId="10" fillId="0" borderId="0" xfId="0" applyFont="1"/>
    <xf numFmtId="173" fontId="6" fillId="0" borderId="1" xfId="1" applyNumberFormat="1" applyFont="1" applyBorder="1" applyAlignment="1">
      <alignment horizontal="right"/>
    </xf>
    <xf numFmtId="0" fontId="0" fillId="0" borderId="1" xfId="0" applyBorder="1" applyAlignment="1"/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P84"/>
  <sheetViews>
    <sheetView tabSelected="1" view="pageBreakPreview" zoomScale="60" zoomScaleNormal="55" workbookViewId="0">
      <pane xSplit="3" ySplit="4" topLeftCell="AY8" activePane="bottomRight" state="frozen"/>
      <selection activeCell="B1" sqref="B1"/>
      <selection pane="topRight" activeCell="D1" sqref="D1"/>
      <selection pane="bottomLeft" activeCell="B5" sqref="B5"/>
      <selection pane="bottomRight" activeCell="BO1" sqref="BO1"/>
    </sheetView>
  </sheetViews>
  <sheetFormatPr baseColWidth="10" defaultRowHeight="15" outlineLevelCol="1"/>
  <cols>
    <col min="1" max="1" width="3.5" style="1" hidden="1" customWidth="1"/>
    <col min="2" max="2" width="33.6640625" style="3" customWidth="1"/>
    <col min="3" max="3" width="10" style="3" customWidth="1"/>
    <col min="4" max="4" width="46.6640625" customWidth="1"/>
    <col min="5" max="5" width="16.1640625" hidden="1" customWidth="1"/>
    <col min="6" max="7" width="14.5" hidden="1" customWidth="1" outlineLevel="1"/>
    <col min="8" max="8" width="12.33203125" style="4" hidden="1" customWidth="1" outlineLevel="1"/>
    <col min="9" max="9" width="16.33203125" style="139" hidden="1" customWidth="1" outlineLevel="1"/>
    <col min="10" max="11" width="14.5" hidden="1" customWidth="1"/>
    <col min="12" max="13" width="14.5" style="4" hidden="1" customWidth="1"/>
    <col min="14" max="14" width="14.5" style="3" hidden="1" customWidth="1"/>
    <col min="15" max="16" width="14.5" hidden="1" customWidth="1"/>
    <col min="17" max="17" width="18.1640625" style="5" hidden="1" customWidth="1"/>
    <col min="18" max="18" width="2.5" hidden="1" customWidth="1"/>
    <col min="19" max="19" width="11.5" style="4" hidden="1" customWidth="1"/>
    <col min="20" max="21" width="11.5" hidden="1" customWidth="1"/>
    <col min="22" max="22" width="18" hidden="1" customWidth="1"/>
    <col min="23" max="23" width="13.83203125" style="4" hidden="1" customWidth="1"/>
    <col min="24" max="24" width="1.83203125" hidden="1" customWidth="1"/>
    <col min="25" max="25" width="19.5" hidden="1" customWidth="1"/>
    <col min="26" max="26" width="15.5" hidden="1" customWidth="1"/>
    <col min="27" max="27" width="20.83203125" hidden="1" customWidth="1"/>
    <col min="28" max="28" width="20.1640625" hidden="1" customWidth="1"/>
    <col min="29" max="29" width="16" hidden="1" customWidth="1"/>
    <col min="30" max="30" width="20.83203125" hidden="1" customWidth="1"/>
    <col min="31" max="31" width="16" hidden="1" customWidth="1"/>
    <col min="32" max="32" width="16.6640625" hidden="1" customWidth="1"/>
    <col min="33" max="33" width="9.1640625" hidden="1" customWidth="1"/>
    <col min="34" max="34" width="14.6640625" style="6" hidden="1" customWidth="1"/>
    <col min="35" max="35" width="10.5" hidden="1" customWidth="1"/>
    <col min="36" max="36" width="9.1640625" hidden="1" customWidth="1"/>
    <col min="37" max="37" width="10.5" hidden="1" customWidth="1"/>
    <col min="38" max="38" width="9.1640625" style="7" hidden="1" customWidth="1"/>
    <col min="39" max="39" width="9.33203125" hidden="1" customWidth="1"/>
    <col min="40" max="40" width="9.1640625" style="7" hidden="1" customWidth="1"/>
    <col min="41" max="41" width="9.1640625" hidden="1" customWidth="1"/>
    <col min="42" max="42" width="9.5" hidden="1" customWidth="1"/>
    <col min="43" max="43" width="15.5" hidden="1" customWidth="1"/>
    <col min="44" max="46" width="9.5" hidden="1" customWidth="1"/>
    <col min="47" max="47" width="15.83203125" hidden="1" customWidth="1"/>
    <col min="48" max="48" width="15.5" hidden="1" customWidth="1"/>
    <col min="49" max="49" width="13.33203125" hidden="1" customWidth="1"/>
    <col min="50" max="50" width="13.5" bestFit="1" customWidth="1"/>
    <col min="51" max="51" width="10.1640625" bestFit="1" customWidth="1"/>
    <col min="52" max="52" width="13.1640625" customWidth="1"/>
    <col min="53" max="53" width="11.6640625" customWidth="1"/>
    <col min="54" max="54" width="14.5" hidden="1" customWidth="1"/>
    <col min="55" max="55" width="14" hidden="1" customWidth="1"/>
    <col min="56" max="56" width="14.1640625" hidden="1" customWidth="1"/>
    <col min="57" max="57" width="15.1640625" hidden="1" customWidth="1"/>
    <col min="58" max="58" width="15" customWidth="1"/>
    <col min="59" max="59" width="13.5" bestFit="1" customWidth="1"/>
    <col min="60" max="60" width="10.1640625" bestFit="1" customWidth="1"/>
    <col min="61" max="61" width="13.1640625" customWidth="1"/>
    <col min="62" max="62" width="11.6640625" customWidth="1"/>
    <col min="63" max="63" width="14.5" customWidth="1"/>
    <col min="64" max="64" width="14" customWidth="1"/>
    <col min="65" max="65" width="14.1640625" customWidth="1"/>
    <col min="66" max="66" width="15.1640625" customWidth="1"/>
    <col min="67" max="67" width="15" customWidth="1"/>
    <col min="68" max="68" width="13.1640625" style="148" customWidth="1"/>
    <col min="69" max="70" width="2.1640625" customWidth="1"/>
    <col min="71" max="256" width="8.83203125" customWidth="1"/>
  </cols>
  <sheetData>
    <row r="1" spans="1:68" ht="19">
      <c r="B1" s="2" t="s">
        <v>112</v>
      </c>
      <c r="I1" s="4"/>
      <c r="BO1" s="187" t="s">
        <v>123</v>
      </c>
    </row>
    <row r="2" spans="1:68" ht="20" thickBot="1">
      <c r="B2" s="8" t="s">
        <v>121</v>
      </c>
      <c r="I2" s="4"/>
    </row>
    <row r="3" spans="1:68">
      <c r="G3" s="188">
        <v>1500</v>
      </c>
      <c r="H3" s="189"/>
      <c r="I3" s="189"/>
      <c r="J3" s="9"/>
      <c r="AI3" s="10" t="s">
        <v>0</v>
      </c>
      <c r="AJ3" s="11"/>
      <c r="AK3" s="10" t="s">
        <v>1</v>
      </c>
      <c r="AL3" s="12"/>
      <c r="AM3" s="11" t="s">
        <v>2</v>
      </c>
      <c r="AN3" s="12"/>
      <c r="AR3" s="190" t="s">
        <v>110</v>
      </c>
      <c r="AS3" s="191"/>
      <c r="AT3" s="191"/>
      <c r="AU3" s="191"/>
      <c r="AV3" s="191"/>
      <c r="AW3" s="192"/>
      <c r="AX3" s="190" t="s">
        <v>111</v>
      </c>
      <c r="AY3" s="191"/>
      <c r="AZ3" s="191"/>
      <c r="BA3" s="191"/>
      <c r="BB3" s="191"/>
      <c r="BC3" s="191"/>
      <c r="BD3" s="191"/>
      <c r="BE3" s="191"/>
      <c r="BF3" s="192"/>
      <c r="BG3" s="190" t="s">
        <v>113</v>
      </c>
      <c r="BH3" s="191"/>
      <c r="BI3" s="191"/>
      <c r="BJ3" s="191"/>
      <c r="BK3" s="191"/>
      <c r="BL3" s="191"/>
      <c r="BM3" s="191"/>
      <c r="BN3" s="191"/>
      <c r="BO3" s="192"/>
    </row>
    <row r="4" spans="1:68" s="24" customFormat="1" ht="61.5" customHeight="1">
      <c r="A4" s="13" t="s">
        <v>3</v>
      </c>
      <c r="B4" s="13" t="s">
        <v>4</v>
      </c>
      <c r="C4" s="13" t="s">
        <v>5</v>
      </c>
      <c r="D4" s="14" t="s">
        <v>6</v>
      </c>
      <c r="E4" s="15" t="s">
        <v>7</v>
      </c>
      <c r="F4" s="16" t="s">
        <v>8</v>
      </c>
      <c r="G4" s="16" t="s">
        <v>9</v>
      </c>
      <c r="H4" s="17" t="s">
        <v>10</v>
      </c>
      <c r="I4" s="17" t="s">
        <v>11</v>
      </c>
      <c r="J4" s="18" t="s">
        <v>12</v>
      </c>
      <c r="K4" s="18" t="s">
        <v>13</v>
      </c>
      <c r="L4" s="19" t="s">
        <v>14</v>
      </c>
      <c r="M4" s="19" t="s">
        <v>15</v>
      </c>
      <c r="N4" s="20" t="s">
        <v>16</v>
      </c>
      <c r="O4" s="21" t="s">
        <v>17</v>
      </c>
      <c r="P4" s="22" t="s">
        <v>18</v>
      </c>
      <c r="Q4" s="23" t="s">
        <v>19</v>
      </c>
      <c r="S4" s="25" t="s">
        <v>20</v>
      </c>
      <c r="T4" s="26" t="s">
        <v>21</v>
      </c>
      <c r="U4" s="26" t="s">
        <v>22</v>
      </c>
      <c r="V4" s="27" t="s">
        <v>23</v>
      </c>
      <c r="W4" s="25" t="s">
        <v>24</v>
      </c>
      <c r="Y4" s="28" t="s">
        <v>25</v>
      </c>
      <c r="Z4" s="28" t="s">
        <v>26</v>
      </c>
      <c r="AA4" s="29" t="s">
        <v>14</v>
      </c>
      <c r="AB4" s="29" t="s">
        <v>27</v>
      </c>
      <c r="AC4" s="30" t="s">
        <v>16</v>
      </c>
      <c r="AD4" s="28" t="s">
        <v>17</v>
      </c>
      <c r="AE4" s="28" t="s">
        <v>18</v>
      </c>
      <c r="AF4" s="31" t="s">
        <v>28</v>
      </c>
      <c r="AH4" s="32" t="s">
        <v>29</v>
      </c>
      <c r="AI4" s="33" t="s">
        <v>30</v>
      </c>
      <c r="AJ4" s="34" t="s">
        <v>31</v>
      </c>
      <c r="AK4" s="35" t="s">
        <v>30</v>
      </c>
      <c r="AL4" s="36" t="s">
        <v>31</v>
      </c>
      <c r="AM4" s="34" t="s">
        <v>30</v>
      </c>
      <c r="AN4" s="37" t="s">
        <v>31</v>
      </c>
      <c r="AP4" s="142" t="s">
        <v>89</v>
      </c>
      <c r="AQ4" s="142" t="s">
        <v>90</v>
      </c>
      <c r="AR4" s="168" t="s">
        <v>91</v>
      </c>
      <c r="AS4" s="169" t="s">
        <v>92</v>
      </c>
      <c r="AT4" s="169" t="s">
        <v>93</v>
      </c>
      <c r="AU4" s="169" t="s">
        <v>104</v>
      </c>
      <c r="AV4" s="169" t="s">
        <v>105</v>
      </c>
      <c r="AW4" s="170" t="s">
        <v>106</v>
      </c>
      <c r="AX4" s="153" t="s">
        <v>108</v>
      </c>
      <c r="AY4" s="154" t="s">
        <v>94</v>
      </c>
      <c r="AZ4" s="154" t="s">
        <v>95</v>
      </c>
      <c r="BA4" s="154" t="s">
        <v>100</v>
      </c>
      <c r="BB4" s="154" t="s">
        <v>96</v>
      </c>
      <c r="BC4" s="154" t="s">
        <v>107</v>
      </c>
      <c r="BD4" s="154" t="s">
        <v>97</v>
      </c>
      <c r="BE4" s="154" t="s">
        <v>98</v>
      </c>
      <c r="BF4" s="155" t="s">
        <v>99</v>
      </c>
      <c r="BG4" s="181" t="s">
        <v>108</v>
      </c>
      <c r="BH4" s="182" t="s">
        <v>114</v>
      </c>
      <c r="BI4" s="182" t="s">
        <v>115</v>
      </c>
      <c r="BJ4" s="154" t="s">
        <v>116</v>
      </c>
      <c r="BK4" s="154" t="s">
        <v>117</v>
      </c>
      <c r="BL4" s="154" t="s">
        <v>118</v>
      </c>
      <c r="BM4" s="154" t="s">
        <v>119</v>
      </c>
      <c r="BN4" s="154" t="s">
        <v>120</v>
      </c>
      <c r="BO4" s="155" t="s">
        <v>99</v>
      </c>
      <c r="BP4" s="149" t="s">
        <v>109</v>
      </c>
    </row>
    <row r="5" spans="1:68">
      <c r="A5" s="1">
        <v>2010</v>
      </c>
      <c r="B5" s="10" t="s">
        <v>32</v>
      </c>
      <c r="C5" s="11" t="s">
        <v>33</v>
      </c>
      <c r="D5" s="38" t="s">
        <v>34</v>
      </c>
      <c r="E5" s="39">
        <v>265500</v>
      </c>
      <c r="F5" s="40">
        <v>12</v>
      </c>
      <c r="G5" s="40">
        <v>12</v>
      </c>
      <c r="H5" s="41">
        <f t="shared" ref="H5:H27" si="0">E5/G5</f>
        <v>22125</v>
      </c>
      <c r="I5" s="42">
        <f t="shared" ref="I5:I10" si="1">22125+$G$3</f>
        <v>23625</v>
      </c>
      <c r="J5" s="43">
        <f>G5</f>
        <v>12</v>
      </c>
      <c r="K5" s="44">
        <f t="shared" ref="K5:K12" si="2">J5</f>
        <v>12</v>
      </c>
      <c r="L5" s="45">
        <f>(10000/12*5)*J5</f>
        <v>50000</v>
      </c>
      <c r="M5" s="46">
        <f>(10000/12*7)*K5</f>
        <v>70000</v>
      </c>
      <c r="N5" s="47">
        <f t="shared" ref="N5:N35" si="3">I5-10000</f>
        <v>13625</v>
      </c>
      <c r="O5" s="48">
        <f>N5*5/12*J5</f>
        <v>68125</v>
      </c>
      <c r="P5" s="48">
        <f>7/12*N5*K5</f>
        <v>95375</v>
      </c>
      <c r="Q5" s="49">
        <f>L5+M5+O5+P5</f>
        <v>283500</v>
      </c>
      <c r="S5" s="4">
        <f>((J5/12*5)+(K5/12*7))-G5</f>
        <v>0</v>
      </c>
      <c r="T5" s="50">
        <f>S5*10000</f>
        <v>0</v>
      </c>
      <c r="U5" s="4">
        <f>S5*N5</f>
        <v>0</v>
      </c>
      <c r="V5" s="50">
        <f>SUM(T5:U5)</f>
        <v>0</v>
      </c>
      <c r="W5" s="4">
        <f>(Q5-E5)-V5</f>
        <v>18000</v>
      </c>
      <c r="Y5" s="51">
        <v>12</v>
      </c>
      <c r="Z5" s="52">
        <v>12</v>
      </c>
      <c r="AA5" s="53">
        <f>(10000/12*5)*Y5</f>
        <v>50000</v>
      </c>
      <c r="AB5" s="53">
        <f>(10000/12*7)*Z5</f>
        <v>70000</v>
      </c>
      <c r="AC5" s="54">
        <f>I5-10000</f>
        <v>13625</v>
      </c>
      <c r="AD5" s="55">
        <f>AC5*5/12*Y5</f>
        <v>68125</v>
      </c>
      <c r="AE5" s="55">
        <f>7/12*AC5*Z5</f>
        <v>95375</v>
      </c>
      <c r="AF5" s="56">
        <f>AA5+AB5+AD5+AE5</f>
        <v>283500</v>
      </c>
      <c r="AH5" s="6">
        <f>(G5*10000)+(G5*(I5-10000))</f>
        <v>283500</v>
      </c>
      <c r="AI5" s="57">
        <v>57969</v>
      </c>
      <c r="AJ5" s="58">
        <v>3.5999999999999997E-2</v>
      </c>
      <c r="AK5" s="57">
        <v>142628</v>
      </c>
      <c r="AL5" s="59">
        <v>0.08</v>
      </c>
      <c r="AM5" s="60">
        <v>423469</v>
      </c>
      <c r="AN5" s="59">
        <v>0.14799999999999999</v>
      </c>
      <c r="AP5" s="143">
        <f>+G5</f>
        <v>12</v>
      </c>
      <c r="AQ5" s="152">
        <f>+E5</f>
        <v>265500</v>
      </c>
      <c r="AR5" s="171">
        <f>((J5*5)+(K5*7))/12</f>
        <v>12</v>
      </c>
      <c r="AS5" s="172">
        <v>12</v>
      </c>
      <c r="AT5" s="172">
        <v>11</v>
      </c>
      <c r="AU5" s="173">
        <f t="shared" ref="AU5:AU33" si="4">+Q5</f>
        <v>283500</v>
      </c>
      <c r="AV5" s="173">
        <v>276687.5</v>
      </c>
      <c r="AW5" s="174">
        <f t="shared" ref="AW5:AW34" si="5">+AV5-AU5</f>
        <v>-6812.5</v>
      </c>
      <c r="AX5" s="156">
        <v>22125</v>
      </c>
      <c r="AY5" s="157">
        <v>12</v>
      </c>
      <c r="AZ5" s="157">
        <v>12</v>
      </c>
      <c r="BA5" s="157">
        <f t="shared" ref="BA5:BA27" si="6">((AY5*5)+(AZ5*7))/12</f>
        <v>12</v>
      </c>
      <c r="BB5" s="129">
        <f>10000*5/12*AY5</f>
        <v>50000</v>
      </c>
      <c r="BC5" s="129">
        <f t="shared" ref="BC5:BC12" si="7">10000*7/12*AZ5</f>
        <v>70000</v>
      </c>
      <c r="BD5" s="129">
        <f>($AX5-10000)*5/12*AY5</f>
        <v>60625</v>
      </c>
      <c r="BE5" s="129">
        <f t="shared" ref="BE5:BE27" si="8">($AX5-10000)*7/12*AZ5</f>
        <v>84875</v>
      </c>
      <c r="BF5" s="158">
        <f>+SUM(BB5:BE5)</f>
        <v>265500</v>
      </c>
      <c r="BG5" s="183">
        <v>22125</v>
      </c>
      <c r="BH5" s="184">
        <v>12</v>
      </c>
      <c r="BI5" s="184">
        <v>12</v>
      </c>
      <c r="BJ5" s="157">
        <f t="shared" ref="BJ5:BJ27" si="9">((BH5*5)+(BI5*7))/12</f>
        <v>12</v>
      </c>
      <c r="BK5" s="129">
        <f>10000*5/12*BH5</f>
        <v>50000</v>
      </c>
      <c r="BL5" s="129">
        <f t="shared" ref="BL5:BL12" si="10">10000*7/12*BI5</f>
        <v>70000</v>
      </c>
      <c r="BM5" s="129">
        <f t="shared" ref="BM5:BM27" si="11">($BG5-10000)*5/12*BH5</f>
        <v>60625</v>
      </c>
      <c r="BN5" s="129">
        <f t="shared" ref="BN5:BN27" si="12">($BG5-10000)*7/12*BI5</f>
        <v>84875</v>
      </c>
      <c r="BO5" s="158">
        <f>+SUM(BK5:BN5)</f>
        <v>265500</v>
      </c>
      <c r="BP5" s="150">
        <f>BO5-BF5</f>
        <v>0</v>
      </c>
    </row>
    <row r="6" spans="1:68">
      <c r="A6" s="1">
        <v>2069</v>
      </c>
      <c r="B6" s="61" t="s">
        <v>35</v>
      </c>
      <c r="C6" s="62" t="s">
        <v>33</v>
      </c>
      <c r="D6" s="63" t="s">
        <v>34</v>
      </c>
      <c r="E6" s="64">
        <v>203020</v>
      </c>
      <c r="F6" s="65">
        <v>9</v>
      </c>
      <c r="G6" s="65">
        <f t="shared" ref="G6:G12" si="13">F6</f>
        <v>9</v>
      </c>
      <c r="H6" s="66">
        <f t="shared" si="0"/>
        <v>22557.777777777777</v>
      </c>
      <c r="I6" s="67">
        <f>22125+$G$3</f>
        <v>23625</v>
      </c>
      <c r="J6" s="68">
        <f t="shared" ref="J6:J33" si="14">G6</f>
        <v>9</v>
      </c>
      <c r="K6" s="69">
        <f t="shared" si="2"/>
        <v>9</v>
      </c>
      <c r="L6" s="70">
        <f t="shared" ref="L6:L33" si="15">(10000/12*5)*J6</f>
        <v>37500</v>
      </c>
      <c r="M6" s="71">
        <f t="shared" ref="M6:M32" si="16">(10000/12*7)*K6</f>
        <v>52500.000000000007</v>
      </c>
      <c r="N6" s="72">
        <f t="shared" si="3"/>
        <v>13625</v>
      </c>
      <c r="O6" s="73">
        <f t="shared" ref="O6:O33" si="17">N6*5/12*J6</f>
        <v>51093.75</v>
      </c>
      <c r="P6" s="73">
        <f t="shared" ref="P6:P33" si="18">7/12*N6*K6</f>
        <v>71531.25</v>
      </c>
      <c r="Q6" s="74">
        <f t="shared" ref="Q6:Q33" si="19">L6+M6+O6+P6</f>
        <v>212625</v>
      </c>
      <c r="S6" s="4">
        <f t="shared" ref="S6:S33" si="20">((J6/12*5)+(K6/12*7))-G6</f>
        <v>0</v>
      </c>
      <c r="T6" s="50">
        <f t="shared" ref="T6:T33" si="21">S6*10000</f>
        <v>0</v>
      </c>
      <c r="U6" s="4">
        <f t="shared" ref="U6:U33" si="22">S6*N6</f>
        <v>0</v>
      </c>
      <c r="V6" s="50">
        <f t="shared" ref="V6:V33" si="23">SUM(T6:U6)</f>
        <v>0</v>
      </c>
      <c r="W6" s="4">
        <f t="shared" ref="W6:W33" si="24">(Q6-E6)-V6</f>
        <v>9605</v>
      </c>
      <c r="Y6" s="51">
        <v>9</v>
      </c>
      <c r="Z6" s="52">
        <v>12</v>
      </c>
      <c r="AA6" s="53">
        <f t="shared" ref="AA6:AA33" si="25">(10000/12*5)*Y6</f>
        <v>37500</v>
      </c>
      <c r="AB6" s="53">
        <f t="shared" ref="AB6:AB33" si="26">(10000/12*7)*Z6</f>
        <v>70000</v>
      </c>
      <c r="AC6" s="54">
        <f t="shared" ref="AC6:AC35" si="27">I6-10000</f>
        <v>13625</v>
      </c>
      <c r="AD6" s="55">
        <f t="shared" ref="AD6:AD33" si="28">AC6*5/12*Y6</f>
        <v>51093.75</v>
      </c>
      <c r="AE6" s="55">
        <f t="shared" ref="AE6:AE33" si="29">7/12*AC6*Z6</f>
        <v>95375</v>
      </c>
      <c r="AF6" s="56">
        <f t="shared" ref="AF6:AF33" si="30">AA6+AB6+AD6+AE6</f>
        <v>253968.75</v>
      </c>
      <c r="AH6" s="6">
        <f t="shared" ref="AH6:AH34" si="31">(G6*10000)+(G6*(I6-10000))</f>
        <v>212625</v>
      </c>
      <c r="AI6" s="75">
        <v>59632</v>
      </c>
      <c r="AJ6" s="76">
        <v>3.2000000000000001E-2</v>
      </c>
      <c r="AK6" s="75">
        <v>74987</v>
      </c>
      <c r="AL6" s="77">
        <v>3.6999999999999998E-2</v>
      </c>
      <c r="AM6" s="78">
        <v>195104</v>
      </c>
      <c r="AN6" s="77">
        <v>0.09</v>
      </c>
      <c r="AP6" s="143">
        <f t="shared" ref="AP6:AP33" si="32">+G6</f>
        <v>9</v>
      </c>
      <c r="AQ6" s="152">
        <f t="shared" ref="AQ6:AQ33" si="33">+E6</f>
        <v>203020</v>
      </c>
      <c r="AR6" s="171">
        <f t="shared" ref="AR6:AR33" si="34">((J6*5)+(K6*7))/12</f>
        <v>9</v>
      </c>
      <c r="AS6" s="172">
        <v>9</v>
      </c>
      <c r="AT6" s="172">
        <v>8.3333333333333339</v>
      </c>
      <c r="AU6" s="173">
        <f t="shared" si="4"/>
        <v>212625</v>
      </c>
      <c r="AV6" s="173">
        <v>208083.33333333331</v>
      </c>
      <c r="AW6" s="174">
        <f t="shared" si="5"/>
        <v>-4541.6666666666861</v>
      </c>
      <c r="AX6" s="156">
        <v>22125</v>
      </c>
      <c r="AY6" s="157">
        <v>9</v>
      </c>
      <c r="AZ6" s="157">
        <v>12</v>
      </c>
      <c r="BA6" s="157">
        <f t="shared" si="6"/>
        <v>10.75</v>
      </c>
      <c r="BB6" s="129">
        <f t="shared" ref="BB6:BB27" si="35">10000*5/12*AY6</f>
        <v>37500</v>
      </c>
      <c r="BC6" s="129">
        <f t="shared" si="7"/>
        <v>70000</v>
      </c>
      <c r="BD6" s="129">
        <f t="shared" ref="BD6:BD27" si="36">($AX6-10000)*5/12*AY6</f>
        <v>45468.75</v>
      </c>
      <c r="BE6" s="129">
        <f t="shared" si="8"/>
        <v>84875</v>
      </c>
      <c r="BF6" s="158">
        <f t="shared" ref="BF6:BF27" si="37">+SUM(BB6:BE6)</f>
        <v>237843.75</v>
      </c>
      <c r="BG6" s="183">
        <v>22125</v>
      </c>
      <c r="BH6" s="184">
        <v>12</v>
      </c>
      <c r="BI6" s="184">
        <v>12</v>
      </c>
      <c r="BJ6" s="157">
        <f t="shared" si="9"/>
        <v>12</v>
      </c>
      <c r="BK6" s="129">
        <f t="shared" ref="BK6:BK27" si="38">10000*5/12*BH6</f>
        <v>50000</v>
      </c>
      <c r="BL6" s="129">
        <f t="shared" si="10"/>
        <v>70000</v>
      </c>
      <c r="BM6" s="129">
        <f t="shared" si="11"/>
        <v>60625</v>
      </c>
      <c r="BN6" s="129">
        <f t="shared" si="12"/>
        <v>84875</v>
      </c>
      <c r="BO6" s="158">
        <f t="shared" ref="BO6:BO27" si="39">+SUM(BK6:BN6)</f>
        <v>265500</v>
      </c>
      <c r="BP6" s="150">
        <f t="shared" ref="BP6:BP35" si="40">BO6-BF6</f>
        <v>27656.25</v>
      </c>
    </row>
    <row r="7" spans="1:68">
      <c r="A7" s="1">
        <v>2071</v>
      </c>
      <c r="B7" s="61" t="s">
        <v>36</v>
      </c>
      <c r="C7" s="62" t="s">
        <v>33</v>
      </c>
      <c r="D7" s="63" t="s">
        <v>34</v>
      </c>
      <c r="E7" s="64">
        <v>91877.116999999998</v>
      </c>
      <c r="F7" s="65">
        <v>4</v>
      </c>
      <c r="G7" s="65">
        <f t="shared" si="13"/>
        <v>4</v>
      </c>
      <c r="H7" s="66">
        <f t="shared" si="0"/>
        <v>22969.27925</v>
      </c>
      <c r="I7" s="67">
        <f t="shared" si="1"/>
        <v>23625</v>
      </c>
      <c r="J7" s="68">
        <f t="shared" si="14"/>
        <v>4</v>
      </c>
      <c r="K7" s="69">
        <f t="shared" si="2"/>
        <v>4</v>
      </c>
      <c r="L7" s="70">
        <f t="shared" si="15"/>
        <v>16666.666666666668</v>
      </c>
      <c r="M7" s="71">
        <f t="shared" si="16"/>
        <v>23333.333333333336</v>
      </c>
      <c r="N7" s="72">
        <f t="shared" si="3"/>
        <v>13625</v>
      </c>
      <c r="O7" s="73">
        <f t="shared" si="17"/>
        <v>22708.333333333332</v>
      </c>
      <c r="P7" s="73">
        <f t="shared" si="18"/>
        <v>31791.666666666668</v>
      </c>
      <c r="Q7" s="74">
        <f t="shared" si="19"/>
        <v>94500</v>
      </c>
      <c r="S7" s="4">
        <f t="shared" si="20"/>
        <v>0</v>
      </c>
      <c r="T7" s="50">
        <f t="shared" si="21"/>
        <v>0</v>
      </c>
      <c r="U7" s="4">
        <f t="shared" si="22"/>
        <v>0</v>
      </c>
      <c r="V7" s="50">
        <f t="shared" si="23"/>
        <v>0</v>
      </c>
      <c r="W7" s="4">
        <f t="shared" si="24"/>
        <v>2622.8830000000016</v>
      </c>
      <c r="Y7" s="51">
        <v>12</v>
      </c>
      <c r="Z7" s="52">
        <v>12</v>
      </c>
      <c r="AA7" s="53">
        <f t="shared" si="25"/>
        <v>50000</v>
      </c>
      <c r="AB7" s="53">
        <f t="shared" si="26"/>
        <v>70000</v>
      </c>
      <c r="AC7" s="54">
        <f t="shared" si="27"/>
        <v>13625</v>
      </c>
      <c r="AD7" s="55">
        <f t="shared" si="28"/>
        <v>68125</v>
      </c>
      <c r="AE7" s="55">
        <f t="shared" si="29"/>
        <v>95375</v>
      </c>
      <c r="AF7" s="56">
        <f t="shared" si="30"/>
        <v>283500</v>
      </c>
      <c r="AH7" s="6">
        <f t="shared" si="31"/>
        <v>94500</v>
      </c>
      <c r="AI7" s="75">
        <v>33312</v>
      </c>
      <c r="AJ7" s="76">
        <v>1.4E-2</v>
      </c>
      <c r="AK7" s="75">
        <v>181177</v>
      </c>
      <c r="AL7" s="77">
        <v>6.6000000000000003E-2</v>
      </c>
      <c r="AM7" s="78">
        <v>441323</v>
      </c>
      <c r="AN7" s="77">
        <v>0.13700000000000001</v>
      </c>
      <c r="AP7" s="143">
        <f t="shared" si="32"/>
        <v>4</v>
      </c>
      <c r="AQ7" s="152">
        <f t="shared" si="33"/>
        <v>91877.116999999998</v>
      </c>
      <c r="AR7" s="171">
        <f t="shared" si="34"/>
        <v>4</v>
      </c>
      <c r="AS7" s="172">
        <v>8.6666666666666661</v>
      </c>
      <c r="AT7" s="172">
        <v>6.833333333333333</v>
      </c>
      <c r="AU7" s="173">
        <f t="shared" si="4"/>
        <v>94500</v>
      </c>
      <c r="AV7" s="173">
        <v>210135.41666666669</v>
      </c>
      <c r="AW7" s="174">
        <f t="shared" si="5"/>
        <v>115635.41666666669</v>
      </c>
      <c r="AX7" s="156">
        <v>22125</v>
      </c>
      <c r="AY7" s="157">
        <v>12</v>
      </c>
      <c r="AZ7" s="157">
        <v>12</v>
      </c>
      <c r="BA7" s="157">
        <f t="shared" si="6"/>
        <v>12</v>
      </c>
      <c r="BB7" s="129">
        <f t="shared" si="35"/>
        <v>50000</v>
      </c>
      <c r="BC7" s="129">
        <f t="shared" si="7"/>
        <v>70000</v>
      </c>
      <c r="BD7" s="129">
        <f t="shared" si="36"/>
        <v>60625</v>
      </c>
      <c r="BE7" s="129">
        <f t="shared" si="8"/>
        <v>84875</v>
      </c>
      <c r="BF7" s="158">
        <f t="shared" si="37"/>
        <v>265500</v>
      </c>
      <c r="BG7" s="183">
        <v>22125</v>
      </c>
      <c r="BH7" s="184">
        <v>12</v>
      </c>
      <c r="BI7" s="184">
        <v>12</v>
      </c>
      <c r="BJ7" s="157">
        <f t="shared" si="9"/>
        <v>12</v>
      </c>
      <c r="BK7" s="129">
        <f t="shared" si="38"/>
        <v>50000</v>
      </c>
      <c r="BL7" s="129">
        <f t="shared" si="10"/>
        <v>70000</v>
      </c>
      <c r="BM7" s="129">
        <f t="shared" si="11"/>
        <v>60625</v>
      </c>
      <c r="BN7" s="129">
        <f t="shared" si="12"/>
        <v>84875</v>
      </c>
      <c r="BO7" s="158">
        <f t="shared" si="39"/>
        <v>265500</v>
      </c>
      <c r="BP7" s="150">
        <f t="shared" si="40"/>
        <v>0</v>
      </c>
    </row>
    <row r="8" spans="1:68">
      <c r="A8" s="1">
        <v>3507</v>
      </c>
      <c r="B8" s="61" t="s">
        <v>37</v>
      </c>
      <c r="C8" s="62" t="s">
        <v>33</v>
      </c>
      <c r="D8" s="63" t="s">
        <v>34</v>
      </c>
      <c r="E8" s="64">
        <v>265500</v>
      </c>
      <c r="F8" s="65">
        <v>12</v>
      </c>
      <c r="G8" s="65">
        <f t="shared" si="13"/>
        <v>12</v>
      </c>
      <c r="H8" s="66">
        <f t="shared" si="0"/>
        <v>22125</v>
      </c>
      <c r="I8" s="67">
        <f t="shared" si="1"/>
        <v>23625</v>
      </c>
      <c r="J8" s="68">
        <f t="shared" si="14"/>
        <v>12</v>
      </c>
      <c r="K8" s="69">
        <f t="shared" si="2"/>
        <v>12</v>
      </c>
      <c r="L8" s="70">
        <f t="shared" si="15"/>
        <v>50000</v>
      </c>
      <c r="M8" s="71">
        <f t="shared" si="16"/>
        <v>70000</v>
      </c>
      <c r="N8" s="72">
        <f t="shared" si="3"/>
        <v>13625</v>
      </c>
      <c r="O8" s="73">
        <f t="shared" si="17"/>
        <v>68125</v>
      </c>
      <c r="P8" s="73">
        <f t="shared" si="18"/>
        <v>95375</v>
      </c>
      <c r="Q8" s="74">
        <f t="shared" si="19"/>
        <v>283500</v>
      </c>
      <c r="S8" s="4">
        <f t="shared" si="20"/>
        <v>0</v>
      </c>
      <c r="T8" s="50">
        <f t="shared" si="21"/>
        <v>0</v>
      </c>
      <c r="U8" s="4">
        <f t="shared" si="22"/>
        <v>0</v>
      </c>
      <c r="V8" s="50">
        <f t="shared" si="23"/>
        <v>0</v>
      </c>
      <c r="W8" s="4">
        <f t="shared" si="24"/>
        <v>18000</v>
      </c>
      <c r="Y8" s="51">
        <v>12</v>
      </c>
      <c r="Z8" s="52">
        <v>12</v>
      </c>
      <c r="AA8" s="53">
        <f t="shared" si="25"/>
        <v>50000</v>
      </c>
      <c r="AB8" s="53">
        <f t="shared" si="26"/>
        <v>70000</v>
      </c>
      <c r="AC8" s="54">
        <f t="shared" si="27"/>
        <v>13625</v>
      </c>
      <c r="AD8" s="55">
        <f t="shared" si="28"/>
        <v>68125</v>
      </c>
      <c r="AE8" s="55">
        <f t="shared" si="29"/>
        <v>95375</v>
      </c>
      <c r="AF8" s="56">
        <f t="shared" si="30"/>
        <v>283500</v>
      </c>
      <c r="AH8" s="6">
        <f t="shared" si="31"/>
        <v>283500</v>
      </c>
      <c r="AI8" s="75" t="s">
        <v>38</v>
      </c>
      <c r="AJ8" s="76" t="s">
        <v>38</v>
      </c>
      <c r="AK8" s="75" t="s">
        <v>38</v>
      </c>
      <c r="AL8" s="77" t="s">
        <v>38</v>
      </c>
      <c r="AM8" s="78">
        <v>56839</v>
      </c>
      <c r="AN8" s="77">
        <v>0.05</v>
      </c>
      <c r="AP8" s="143">
        <f t="shared" si="32"/>
        <v>12</v>
      </c>
      <c r="AQ8" s="152">
        <f t="shared" si="33"/>
        <v>265500</v>
      </c>
      <c r="AR8" s="171">
        <f t="shared" si="34"/>
        <v>12</v>
      </c>
      <c r="AS8" s="172">
        <v>12</v>
      </c>
      <c r="AT8" s="172">
        <v>11.833333333333334</v>
      </c>
      <c r="AU8" s="173">
        <f t="shared" si="4"/>
        <v>283500</v>
      </c>
      <c r="AV8" s="173">
        <v>282364.58333333331</v>
      </c>
      <c r="AW8" s="174">
        <f t="shared" si="5"/>
        <v>-1135.4166666666861</v>
      </c>
      <c r="AX8" s="156">
        <v>22125</v>
      </c>
      <c r="AY8" s="157">
        <v>12</v>
      </c>
      <c r="AZ8" s="157">
        <v>12</v>
      </c>
      <c r="BA8" s="157">
        <f t="shared" si="6"/>
        <v>12</v>
      </c>
      <c r="BB8" s="129">
        <f t="shared" si="35"/>
        <v>50000</v>
      </c>
      <c r="BC8" s="129">
        <f t="shared" si="7"/>
        <v>70000</v>
      </c>
      <c r="BD8" s="129">
        <f t="shared" si="36"/>
        <v>60625</v>
      </c>
      <c r="BE8" s="129">
        <f t="shared" si="8"/>
        <v>84875</v>
      </c>
      <c r="BF8" s="158">
        <f t="shared" si="37"/>
        <v>265500</v>
      </c>
      <c r="BG8" s="183">
        <v>22125</v>
      </c>
      <c r="BH8" s="184">
        <v>12</v>
      </c>
      <c r="BI8" s="184">
        <v>12</v>
      </c>
      <c r="BJ8" s="157">
        <f t="shared" si="9"/>
        <v>12</v>
      </c>
      <c r="BK8" s="129">
        <f t="shared" si="38"/>
        <v>50000</v>
      </c>
      <c r="BL8" s="129">
        <f t="shared" si="10"/>
        <v>70000</v>
      </c>
      <c r="BM8" s="129">
        <f t="shared" si="11"/>
        <v>60625</v>
      </c>
      <c r="BN8" s="129">
        <f t="shared" si="12"/>
        <v>84875</v>
      </c>
      <c r="BO8" s="158">
        <f t="shared" si="39"/>
        <v>265500</v>
      </c>
      <c r="BP8" s="150">
        <f t="shared" si="40"/>
        <v>0</v>
      </c>
    </row>
    <row r="9" spans="1:68">
      <c r="A9" s="1">
        <v>4029</v>
      </c>
      <c r="B9" s="61" t="s">
        <v>39</v>
      </c>
      <c r="C9" s="62" t="s">
        <v>40</v>
      </c>
      <c r="D9" s="63" t="s">
        <v>41</v>
      </c>
      <c r="E9" s="64">
        <v>132751</v>
      </c>
      <c r="F9" s="65">
        <v>6</v>
      </c>
      <c r="G9" s="65">
        <f t="shared" si="13"/>
        <v>6</v>
      </c>
      <c r="H9" s="66">
        <f t="shared" si="0"/>
        <v>22125.166666666668</v>
      </c>
      <c r="I9" s="67">
        <f t="shared" si="1"/>
        <v>23625</v>
      </c>
      <c r="J9" s="68">
        <f t="shared" si="14"/>
        <v>6</v>
      </c>
      <c r="K9" s="69">
        <f>J9+6</f>
        <v>12</v>
      </c>
      <c r="L9" s="70">
        <f t="shared" si="15"/>
        <v>25000</v>
      </c>
      <c r="M9" s="71">
        <f t="shared" si="16"/>
        <v>70000</v>
      </c>
      <c r="N9" s="72">
        <f t="shared" si="3"/>
        <v>13625</v>
      </c>
      <c r="O9" s="73">
        <f t="shared" si="17"/>
        <v>34062.5</v>
      </c>
      <c r="P9" s="73">
        <f t="shared" si="18"/>
        <v>95375</v>
      </c>
      <c r="Q9" s="74">
        <f t="shared" si="19"/>
        <v>224437.5</v>
      </c>
      <c r="S9" s="4">
        <f t="shared" si="20"/>
        <v>3.5</v>
      </c>
      <c r="T9" s="50">
        <f t="shared" si="21"/>
        <v>35000</v>
      </c>
      <c r="U9" s="4">
        <f t="shared" si="22"/>
        <v>47687.5</v>
      </c>
      <c r="V9" s="50">
        <f t="shared" si="23"/>
        <v>82687.5</v>
      </c>
      <c r="W9" s="4">
        <f t="shared" si="24"/>
        <v>8999</v>
      </c>
      <c r="Y9" s="51">
        <v>12</v>
      </c>
      <c r="Z9" s="52">
        <v>12</v>
      </c>
      <c r="AA9" s="53">
        <f t="shared" si="25"/>
        <v>50000</v>
      </c>
      <c r="AB9" s="53">
        <f t="shared" si="26"/>
        <v>70000</v>
      </c>
      <c r="AC9" s="54">
        <f t="shared" si="27"/>
        <v>13625</v>
      </c>
      <c r="AD9" s="55">
        <f t="shared" si="28"/>
        <v>68125</v>
      </c>
      <c r="AE9" s="55">
        <f t="shared" si="29"/>
        <v>95375</v>
      </c>
      <c r="AF9" s="56">
        <f t="shared" si="30"/>
        <v>283500</v>
      </c>
      <c r="AH9" s="6">
        <f t="shared" si="31"/>
        <v>141750</v>
      </c>
      <c r="AI9" s="75">
        <v>277786</v>
      </c>
      <c r="AJ9" s="76">
        <v>2.9000000000000001E-2</v>
      </c>
      <c r="AK9" s="75">
        <v>567567</v>
      </c>
      <c r="AL9" s="77">
        <v>5.5E-2</v>
      </c>
      <c r="AM9" s="78">
        <v>331172</v>
      </c>
      <c r="AN9" s="77">
        <v>3.2000000000000001E-2</v>
      </c>
      <c r="AP9" s="143">
        <f t="shared" si="32"/>
        <v>6</v>
      </c>
      <c r="AQ9" s="152">
        <f t="shared" si="33"/>
        <v>132751</v>
      </c>
      <c r="AR9" s="171">
        <f t="shared" si="34"/>
        <v>9.5</v>
      </c>
      <c r="AS9" s="172">
        <v>9.5</v>
      </c>
      <c r="AT9" s="172">
        <v>4.5</v>
      </c>
      <c r="AU9" s="173">
        <f t="shared" si="4"/>
        <v>224437.5</v>
      </c>
      <c r="AV9" s="173">
        <v>193781.25</v>
      </c>
      <c r="AW9" s="174">
        <f t="shared" si="5"/>
        <v>-30656.25</v>
      </c>
      <c r="AX9" s="156">
        <v>22125</v>
      </c>
      <c r="AY9" s="157">
        <v>12</v>
      </c>
      <c r="AZ9" s="157">
        <v>12</v>
      </c>
      <c r="BA9" s="157">
        <f t="shared" si="6"/>
        <v>12</v>
      </c>
      <c r="BB9" s="129">
        <f t="shared" si="35"/>
        <v>50000</v>
      </c>
      <c r="BC9" s="129">
        <f t="shared" si="7"/>
        <v>70000</v>
      </c>
      <c r="BD9" s="129">
        <f t="shared" si="36"/>
        <v>60625</v>
      </c>
      <c r="BE9" s="129">
        <f t="shared" si="8"/>
        <v>84875</v>
      </c>
      <c r="BF9" s="158">
        <f t="shared" si="37"/>
        <v>265500</v>
      </c>
      <c r="BG9" s="183">
        <v>22125</v>
      </c>
      <c r="BH9" s="184">
        <v>12</v>
      </c>
      <c r="BI9" s="184">
        <v>12</v>
      </c>
      <c r="BJ9" s="157">
        <f t="shared" si="9"/>
        <v>12</v>
      </c>
      <c r="BK9" s="129">
        <f t="shared" si="38"/>
        <v>50000</v>
      </c>
      <c r="BL9" s="129">
        <f t="shared" si="10"/>
        <v>70000</v>
      </c>
      <c r="BM9" s="129">
        <f t="shared" si="11"/>
        <v>60625</v>
      </c>
      <c r="BN9" s="129">
        <f t="shared" si="12"/>
        <v>84875</v>
      </c>
      <c r="BO9" s="158">
        <f t="shared" si="39"/>
        <v>265500</v>
      </c>
      <c r="BP9" s="150">
        <f t="shared" si="40"/>
        <v>0</v>
      </c>
    </row>
    <row r="10" spans="1:68">
      <c r="A10" s="1">
        <v>4028</v>
      </c>
      <c r="B10" s="79" t="s">
        <v>42</v>
      </c>
      <c r="C10" s="80" t="s">
        <v>40</v>
      </c>
      <c r="D10" s="81" t="s">
        <v>41</v>
      </c>
      <c r="E10" s="82">
        <v>132751</v>
      </c>
      <c r="F10" s="83">
        <v>6</v>
      </c>
      <c r="G10" s="83">
        <f t="shared" si="13"/>
        <v>6</v>
      </c>
      <c r="H10" s="84">
        <f t="shared" si="0"/>
        <v>22125.166666666668</v>
      </c>
      <c r="I10" s="85">
        <f t="shared" si="1"/>
        <v>23625</v>
      </c>
      <c r="J10" s="86">
        <f t="shared" si="14"/>
        <v>6</v>
      </c>
      <c r="K10" s="87">
        <f>J10+6</f>
        <v>12</v>
      </c>
      <c r="L10" s="88">
        <f t="shared" si="15"/>
        <v>25000</v>
      </c>
      <c r="M10" s="89">
        <f t="shared" si="16"/>
        <v>70000</v>
      </c>
      <c r="N10" s="90">
        <f t="shared" si="3"/>
        <v>13625</v>
      </c>
      <c r="O10" s="91">
        <f t="shared" si="17"/>
        <v>34062.5</v>
      </c>
      <c r="P10" s="91">
        <f t="shared" si="18"/>
        <v>95375</v>
      </c>
      <c r="Q10" s="92">
        <f t="shared" si="19"/>
        <v>224437.5</v>
      </c>
      <c r="S10" s="4">
        <f t="shared" si="20"/>
        <v>3.5</v>
      </c>
      <c r="T10" s="50">
        <f t="shared" si="21"/>
        <v>35000</v>
      </c>
      <c r="U10" s="4">
        <f t="shared" si="22"/>
        <v>47687.5</v>
      </c>
      <c r="V10" s="50">
        <f t="shared" si="23"/>
        <v>82687.5</v>
      </c>
      <c r="W10" s="4">
        <f t="shared" si="24"/>
        <v>8999</v>
      </c>
      <c r="Y10" s="51">
        <v>9</v>
      </c>
      <c r="Z10" s="52">
        <v>12</v>
      </c>
      <c r="AA10" s="53">
        <f t="shared" si="25"/>
        <v>37500</v>
      </c>
      <c r="AB10" s="53">
        <f t="shared" si="26"/>
        <v>70000</v>
      </c>
      <c r="AC10" s="54">
        <f t="shared" si="27"/>
        <v>13625</v>
      </c>
      <c r="AD10" s="55">
        <f t="shared" si="28"/>
        <v>51093.75</v>
      </c>
      <c r="AE10" s="55">
        <f t="shared" si="29"/>
        <v>95375</v>
      </c>
      <c r="AF10" s="56">
        <f t="shared" si="30"/>
        <v>253968.75</v>
      </c>
      <c r="AH10" s="6">
        <f t="shared" si="31"/>
        <v>141750</v>
      </c>
      <c r="AI10" s="75">
        <v>580339</v>
      </c>
      <c r="AJ10" s="76">
        <v>5.8000000000000003E-2</v>
      </c>
      <c r="AK10" s="75">
        <v>695487</v>
      </c>
      <c r="AL10" s="77">
        <v>6.9000000000000006E-2</v>
      </c>
      <c r="AM10" s="78">
        <v>553555</v>
      </c>
      <c r="AN10" s="77">
        <v>5.0999999999999997E-2</v>
      </c>
      <c r="AP10" s="143">
        <f t="shared" si="32"/>
        <v>6</v>
      </c>
      <c r="AQ10" s="152">
        <f t="shared" si="33"/>
        <v>132751</v>
      </c>
      <c r="AR10" s="171">
        <f t="shared" si="34"/>
        <v>9.5</v>
      </c>
      <c r="AS10" s="172">
        <v>7.75</v>
      </c>
      <c r="AT10" s="172">
        <v>6</v>
      </c>
      <c r="AU10" s="173">
        <f t="shared" si="4"/>
        <v>224437.5</v>
      </c>
      <c r="AV10" s="173">
        <v>172875</v>
      </c>
      <c r="AW10" s="174">
        <f t="shared" si="5"/>
        <v>-51562.5</v>
      </c>
      <c r="AX10" s="156">
        <v>22125</v>
      </c>
      <c r="AY10" s="157">
        <v>9</v>
      </c>
      <c r="AZ10" s="157">
        <v>12</v>
      </c>
      <c r="BA10" s="157">
        <f t="shared" si="6"/>
        <v>10.75</v>
      </c>
      <c r="BB10" s="129">
        <f t="shared" si="35"/>
        <v>37500</v>
      </c>
      <c r="BC10" s="129">
        <f t="shared" si="7"/>
        <v>70000</v>
      </c>
      <c r="BD10" s="129">
        <f t="shared" si="36"/>
        <v>45468.75</v>
      </c>
      <c r="BE10" s="129">
        <f t="shared" si="8"/>
        <v>84875</v>
      </c>
      <c r="BF10" s="158">
        <f t="shared" si="37"/>
        <v>237843.75</v>
      </c>
      <c r="BG10" s="183">
        <v>22125</v>
      </c>
      <c r="BH10" s="184">
        <v>12</v>
      </c>
      <c r="BI10" s="184">
        <v>12</v>
      </c>
      <c r="BJ10" s="157">
        <f t="shared" si="9"/>
        <v>12</v>
      </c>
      <c r="BK10" s="129">
        <f t="shared" si="38"/>
        <v>50000</v>
      </c>
      <c r="BL10" s="129">
        <f t="shared" si="10"/>
        <v>70000</v>
      </c>
      <c r="BM10" s="129">
        <f t="shared" si="11"/>
        <v>60625</v>
      </c>
      <c r="BN10" s="129">
        <f t="shared" si="12"/>
        <v>84875</v>
      </c>
      <c r="BO10" s="158">
        <f t="shared" si="39"/>
        <v>265500</v>
      </c>
      <c r="BP10" s="150">
        <f t="shared" si="40"/>
        <v>27656.25</v>
      </c>
    </row>
    <row r="11" spans="1:68">
      <c r="A11" s="1">
        <v>2001</v>
      </c>
      <c r="B11" s="10" t="s">
        <v>43</v>
      </c>
      <c r="C11" s="11" t="s">
        <v>33</v>
      </c>
      <c r="D11" s="38" t="s">
        <v>44</v>
      </c>
      <c r="E11" s="39">
        <v>400000</v>
      </c>
      <c r="F11" s="40">
        <v>16</v>
      </c>
      <c r="G11" s="40">
        <f t="shared" si="13"/>
        <v>16</v>
      </c>
      <c r="H11" s="41">
        <f t="shared" si="0"/>
        <v>25000</v>
      </c>
      <c r="I11" s="93">
        <v>25000</v>
      </c>
      <c r="J11" s="43">
        <f t="shared" si="14"/>
        <v>16</v>
      </c>
      <c r="K11" s="44">
        <f>J11-4</f>
        <v>12</v>
      </c>
      <c r="L11" s="45">
        <f t="shared" si="15"/>
        <v>66666.666666666672</v>
      </c>
      <c r="M11" s="46">
        <f t="shared" si="16"/>
        <v>70000</v>
      </c>
      <c r="N11" s="47">
        <f t="shared" si="3"/>
        <v>15000</v>
      </c>
      <c r="O11" s="48">
        <f t="shared" si="17"/>
        <v>100000</v>
      </c>
      <c r="P11" s="48">
        <f t="shared" si="18"/>
        <v>105000</v>
      </c>
      <c r="Q11" s="49">
        <f t="shared" si="19"/>
        <v>341666.66666666669</v>
      </c>
      <c r="S11" s="4">
        <f t="shared" si="20"/>
        <v>-2.3333333333333339</v>
      </c>
      <c r="T11" s="50">
        <f t="shared" si="21"/>
        <v>-23333.333333333339</v>
      </c>
      <c r="U11" s="4">
        <f t="shared" si="22"/>
        <v>-35000.000000000007</v>
      </c>
      <c r="V11" s="50">
        <f t="shared" si="23"/>
        <v>-58333.333333333343</v>
      </c>
      <c r="W11" s="4">
        <f t="shared" si="24"/>
        <v>0</v>
      </c>
      <c r="Y11" s="51">
        <v>12</v>
      </c>
      <c r="Z11" s="52">
        <v>12</v>
      </c>
      <c r="AA11" s="53">
        <f t="shared" si="25"/>
        <v>50000</v>
      </c>
      <c r="AB11" s="53">
        <f t="shared" si="26"/>
        <v>70000</v>
      </c>
      <c r="AC11" s="54">
        <f t="shared" si="27"/>
        <v>15000</v>
      </c>
      <c r="AD11" s="55">
        <f t="shared" si="28"/>
        <v>75000</v>
      </c>
      <c r="AE11" s="55">
        <f t="shared" si="29"/>
        <v>105000</v>
      </c>
      <c r="AF11" s="56">
        <f t="shared" si="30"/>
        <v>300000</v>
      </c>
      <c r="AH11" s="6">
        <f t="shared" si="31"/>
        <v>400000</v>
      </c>
      <c r="AI11" s="75">
        <f>112345+184503</f>
        <v>296848</v>
      </c>
      <c r="AJ11" s="76"/>
      <c r="AK11" s="75">
        <f>161235+166137</f>
        <v>327372</v>
      </c>
      <c r="AL11" s="77"/>
      <c r="AM11" s="78">
        <v>307712</v>
      </c>
      <c r="AN11" s="77">
        <v>7.9000000000000001E-2</v>
      </c>
      <c r="AP11" s="143">
        <f t="shared" si="32"/>
        <v>16</v>
      </c>
      <c r="AQ11" s="152">
        <f t="shared" si="33"/>
        <v>400000</v>
      </c>
      <c r="AR11" s="171">
        <f t="shared" si="34"/>
        <v>13.666666666666666</v>
      </c>
      <c r="AS11" s="172">
        <v>13.666666666666666</v>
      </c>
      <c r="AT11" s="172">
        <v>13</v>
      </c>
      <c r="AU11" s="173">
        <f t="shared" si="4"/>
        <v>341666.66666666669</v>
      </c>
      <c r="AV11" s="173">
        <v>334166.66666666669</v>
      </c>
      <c r="AW11" s="174">
        <f t="shared" si="5"/>
        <v>-7500</v>
      </c>
      <c r="AX11" s="156">
        <v>25000</v>
      </c>
      <c r="AY11" s="157">
        <v>12</v>
      </c>
      <c r="AZ11" s="157">
        <v>12</v>
      </c>
      <c r="BA11" s="157">
        <f t="shared" si="6"/>
        <v>12</v>
      </c>
      <c r="BB11" s="129">
        <f t="shared" si="35"/>
        <v>50000</v>
      </c>
      <c r="BC11" s="129">
        <f t="shared" si="7"/>
        <v>70000</v>
      </c>
      <c r="BD11" s="129">
        <f t="shared" si="36"/>
        <v>75000</v>
      </c>
      <c r="BE11" s="129">
        <f t="shared" si="8"/>
        <v>105000</v>
      </c>
      <c r="BF11" s="158">
        <f t="shared" si="37"/>
        <v>300000</v>
      </c>
      <c r="BG11" s="185">
        <f>25000+4850-4850</f>
        <v>25000</v>
      </c>
      <c r="BH11" s="184">
        <v>12</v>
      </c>
      <c r="BI11" s="184">
        <v>12</v>
      </c>
      <c r="BJ11" s="157">
        <f t="shared" si="9"/>
        <v>12</v>
      </c>
      <c r="BK11" s="129">
        <f t="shared" si="38"/>
        <v>50000</v>
      </c>
      <c r="BL11" s="129">
        <f t="shared" si="10"/>
        <v>70000</v>
      </c>
      <c r="BM11" s="129">
        <f t="shared" si="11"/>
        <v>75000</v>
      </c>
      <c r="BN11" s="129">
        <f t="shared" si="12"/>
        <v>105000</v>
      </c>
      <c r="BO11" s="158">
        <f t="shared" si="39"/>
        <v>300000</v>
      </c>
      <c r="BP11" s="150">
        <f t="shared" si="40"/>
        <v>0</v>
      </c>
    </row>
    <row r="12" spans="1:68">
      <c r="A12" s="1">
        <v>2015</v>
      </c>
      <c r="B12" s="61" t="s">
        <v>45</v>
      </c>
      <c r="C12" s="62" t="s">
        <v>33</v>
      </c>
      <c r="D12" s="63" t="s">
        <v>44</v>
      </c>
      <c r="E12" s="64">
        <v>346993</v>
      </c>
      <c r="F12" s="65">
        <v>12</v>
      </c>
      <c r="G12" s="65">
        <f t="shared" si="13"/>
        <v>12</v>
      </c>
      <c r="H12" s="66">
        <f t="shared" si="0"/>
        <v>28916.083333333332</v>
      </c>
      <c r="I12" s="94">
        <v>25000</v>
      </c>
      <c r="J12" s="68">
        <f t="shared" si="14"/>
        <v>12</v>
      </c>
      <c r="K12" s="69">
        <f t="shared" si="2"/>
        <v>12</v>
      </c>
      <c r="L12" s="70">
        <f t="shared" si="15"/>
        <v>50000</v>
      </c>
      <c r="M12" s="71">
        <f t="shared" si="16"/>
        <v>70000</v>
      </c>
      <c r="N12" s="72">
        <f t="shared" si="3"/>
        <v>15000</v>
      </c>
      <c r="O12" s="73">
        <f t="shared" si="17"/>
        <v>75000</v>
      </c>
      <c r="P12" s="73">
        <f t="shared" si="18"/>
        <v>105000</v>
      </c>
      <c r="Q12" s="74">
        <f t="shared" si="19"/>
        <v>300000</v>
      </c>
      <c r="S12" s="4">
        <f t="shared" si="20"/>
        <v>0</v>
      </c>
      <c r="T12" s="50">
        <f t="shared" si="21"/>
        <v>0</v>
      </c>
      <c r="U12" s="4">
        <f t="shared" si="22"/>
        <v>0</v>
      </c>
      <c r="V12" s="50">
        <f t="shared" si="23"/>
        <v>0</v>
      </c>
      <c r="W12" s="4">
        <f t="shared" si="24"/>
        <v>-46993</v>
      </c>
      <c r="Y12" s="51">
        <v>12</v>
      </c>
      <c r="Z12" s="52">
        <v>12</v>
      </c>
      <c r="AA12" s="53">
        <f t="shared" si="25"/>
        <v>50000</v>
      </c>
      <c r="AB12" s="53">
        <f t="shared" si="26"/>
        <v>70000</v>
      </c>
      <c r="AC12" s="54">
        <f t="shared" si="27"/>
        <v>15000</v>
      </c>
      <c r="AD12" s="55">
        <f t="shared" si="28"/>
        <v>75000</v>
      </c>
      <c r="AE12" s="55">
        <f t="shared" si="29"/>
        <v>105000</v>
      </c>
      <c r="AF12" s="56">
        <f t="shared" si="30"/>
        <v>300000</v>
      </c>
      <c r="AH12" s="6">
        <f t="shared" si="31"/>
        <v>300000</v>
      </c>
      <c r="AI12" s="75">
        <f>47052+35693</f>
        <v>82745</v>
      </c>
      <c r="AJ12" s="76">
        <v>2.1000000000000001E-2</v>
      </c>
      <c r="AK12" s="75">
        <v>-43685</v>
      </c>
      <c r="AL12" s="77">
        <v>-1.2E-2</v>
      </c>
      <c r="AM12" s="78">
        <v>19976</v>
      </c>
      <c r="AN12" s="77">
        <v>4.0000000000000001E-3</v>
      </c>
      <c r="AP12" s="143">
        <f t="shared" si="32"/>
        <v>12</v>
      </c>
      <c r="AQ12" s="152">
        <f t="shared" si="33"/>
        <v>346993</v>
      </c>
      <c r="AR12" s="171">
        <f t="shared" si="34"/>
        <v>12</v>
      </c>
      <c r="AS12" s="172">
        <v>12</v>
      </c>
      <c r="AT12" s="172">
        <v>11.333333333333334</v>
      </c>
      <c r="AU12" s="173">
        <f t="shared" si="4"/>
        <v>300000</v>
      </c>
      <c r="AV12" s="173">
        <v>295000</v>
      </c>
      <c r="AW12" s="174">
        <f t="shared" si="5"/>
        <v>-5000</v>
      </c>
      <c r="AX12" s="156">
        <v>25000</v>
      </c>
      <c r="AY12" s="157">
        <v>12</v>
      </c>
      <c r="AZ12" s="157">
        <v>12</v>
      </c>
      <c r="BA12" s="157">
        <f t="shared" si="6"/>
        <v>12</v>
      </c>
      <c r="BB12" s="129">
        <f t="shared" si="35"/>
        <v>50000</v>
      </c>
      <c r="BC12" s="129">
        <f t="shared" si="7"/>
        <v>70000</v>
      </c>
      <c r="BD12" s="129">
        <f t="shared" si="36"/>
        <v>75000</v>
      </c>
      <c r="BE12" s="129">
        <f t="shared" si="8"/>
        <v>105000</v>
      </c>
      <c r="BF12" s="158">
        <f t="shared" si="37"/>
        <v>300000</v>
      </c>
      <c r="BG12" s="185">
        <f>25000+4750-4750</f>
        <v>25000</v>
      </c>
      <c r="BH12" s="184">
        <v>12</v>
      </c>
      <c r="BI12" s="184">
        <v>12</v>
      </c>
      <c r="BJ12" s="157">
        <f t="shared" si="9"/>
        <v>12</v>
      </c>
      <c r="BK12" s="129">
        <f t="shared" si="38"/>
        <v>50000</v>
      </c>
      <c r="BL12" s="129">
        <f t="shared" si="10"/>
        <v>70000</v>
      </c>
      <c r="BM12" s="129">
        <f t="shared" si="11"/>
        <v>75000</v>
      </c>
      <c r="BN12" s="129">
        <f t="shared" si="12"/>
        <v>105000</v>
      </c>
      <c r="BO12" s="158">
        <f t="shared" si="39"/>
        <v>300000</v>
      </c>
      <c r="BP12" s="150">
        <f t="shared" si="40"/>
        <v>0</v>
      </c>
    </row>
    <row r="13" spans="1:68">
      <c r="B13" s="61" t="s">
        <v>87</v>
      </c>
      <c r="C13" s="62" t="s">
        <v>33</v>
      </c>
      <c r="D13" s="63" t="s">
        <v>44</v>
      </c>
      <c r="E13" s="64"/>
      <c r="F13" s="65"/>
      <c r="G13" s="65"/>
      <c r="H13" s="66"/>
      <c r="I13" s="94">
        <v>25000</v>
      </c>
      <c r="J13" s="68">
        <f>G13</f>
        <v>0</v>
      </c>
      <c r="K13" s="69">
        <f>J13</f>
        <v>0</v>
      </c>
      <c r="L13" s="70">
        <f>(10000/12*5)*J13</f>
        <v>0</v>
      </c>
      <c r="M13" s="71">
        <f>(10000/12*7)*K13</f>
        <v>0</v>
      </c>
      <c r="N13" s="72">
        <f>I13-10000</f>
        <v>15000</v>
      </c>
      <c r="O13" s="73">
        <f>N13*5/12*J13</f>
        <v>0</v>
      </c>
      <c r="P13" s="73">
        <f>7/12*N13*K13</f>
        <v>0</v>
      </c>
      <c r="Q13" s="74">
        <f>L13+M13+O13+P13</f>
        <v>0</v>
      </c>
      <c r="S13" s="4">
        <f>((J13/12*5)+(K13/12*7))-G13</f>
        <v>0</v>
      </c>
      <c r="T13" s="50">
        <f>S13*10000</f>
        <v>0</v>
      </c>
      <c r="U13" s="4">
        <f>S13*N13</f>
        <v>0</v>
      </c>
      <c r="V13" s="50">
        <f>SUM(T13:U13)</f>
        <v>0</v>
      </c>
      <c r="W13" s="4">
        <f>(Q13-E13)-V13</f>
        <v>0</v>
      </c>
      <c r="Y13" s="51">
        <v>0</v>
      </c>
      <c r="Z13" s="52">
        <v>12</v>
      </c>
      <c r="AA13" s="53">
        <f>(10000/12*5)*Y13</f>
        <v>0</v>
      </c>
      <c r="AB13" s="53">
        <f>(10000/12*7)*Z13</f>
        <v>70000</v>
      </c>
      <c r="AC13" s="54">
        <f>I13-10000</f>
        <v>15000</v>
      </c>
      <c r="AD13" s="55">
        <f>AC13*5/12*Y13</f>
        <v>0</v>
      </c>
      <c r="AE13" s="55">
        <f>7/12*AC13*Z13</f>
        <v>105000</v>
      </c>
      <c r="AF13" s="56">
        <f>AA13+AB13+AD13+AE13</f>
        <v>175000</v>
      </c>
      <c r="AI13" s="75"/>
      <c r="AJ13" s="76"/>
      <c r="AK13" s="75"/>
      <c r="AL13" s="77"/>
      <c r="AM13" s="78"/>
      <c r="AN13" s="77"/>
      <c r="AP13" s="143">
        <f t="shared" si="32"/>
        <v>0</v>
      </c>
      <c r="AQ13" s="152">
        <f t="shared" si="33"/>
        <v>0</v>
      </c>
      <c r="AR13" s="171">
        <f t="shared" si="34"/>
        <v>0</v>
      </c>
      <c r="AS13" s="172">
        <v>0</v>
      </c>
      <c r="AT13" s="172"/>
      <c r="AU13" s="173">
        <f t="shared" si="4"/>
        <v>0</v>
      </c>
      <c r="AV13" s="173">
        <v>0</v>
      </c>
      <c r="AW13" s="174">
        <f t="shared" si="5"/>
        <v>0</v>
      </c>
      <c r="AX13" s="156">
        <v>25000</v>
      </c>
      <c r="AY13" s="157">
        <v>0</v>
      </c>
      <c r="AZ13" s="157">
        <v>12</v>
      </c>
      <c r="BA13" s="157">
        <f t="shared" si="6"/>
        <v>7</v>
      </c>
      <c r="BB13" s="129">
        <f t="shared" si="35"/>
        <v>0</v>
      </c>
      <c r="BC13" s="141">
        <f>10000*(7+2)/12*AZ13</f>
        <v>90000</v>
      </c>
      <c r="BD13" s="129">
        <f t="shared" si="36"/>
        <v>0</v>
      </c>
      <c r="BE13" s="129">
        <f t="shared" si="8"/>
        <v>105000</v>
      </c>
      <c r="BF13" s="158">
        <f t="shared" si="37"/>
        <v>195000</v>
      </c>
      <c r="BG13" s="183">
        <v>25000</v>
      </c>
      <c r="BH13" s="184">
        <v>12</v>
      </c>
      <c r="BI13" s="184">
        <v>12</v>
      </c>
      <c r="BJ13" s="157">
        <f t="shared" si="9"/>
        <v>12</v>
      </c>
      <c r="BK13" s="129">
        <f>10000*5/12*BH13</f>
        <v>50000</v>
      </c>
      <c r="BL13" s="129">
        <f>10000*7/12*BI13</f>
        <v>70000</v>
      </c>
      <c r="BM13" s="129">
        <f t="shared" si="11"/>
        <v>75000</v>
      </c>
      <c r="BN13" s="129">
        <f t="shared" si="12"/>
        <v>105000</v>
      </c>
      <c r="BO13" s="158">
        <f>+SUM(BK13:BN13)</f>
        <v>300000</v>
      </c>
      <c r="BP13" s="150">
        <f t="shared" si="40"/>
        <v>105000</v>
      </c>
    </row>
    <row r="14" spans="1:68">
      <c r="B14" s="61" t="s">
        <v>102</v>
      </c>
      <c r="C14" s="62" t="s">
        <v>40</v>
      </c>
      <c r="D14" s="63" t="s">
        <v>44</v>
      </c>
      <c r="E14" s="64"/>
      <c r="F14" s="65"/>
      <c r="G14" s="65"/>
      <c r="H14" s="66"/>
      <c r="I14" s="94">
        <v>25000</v>
      </c>
      <c r="J14" s="68">
        <f>G14</f>
        <v>0</v>
      </c>
      <c r="K14" s="69">
        <f>J14</f>
        <v>0</v>
      </c>
      <c r="L14" s="70">
        <f>(10000/12*5)*J14</f>
        <v>0</v>
      </c>
      <c r="M14" s="71">
        <f>(10000/12*7)*K14</f>
        <v>0</v>
      </c>
      <c r="N14" s="72">
        <f>I14-10000</f>
        <v>15000</v>
      </c>
      <c r="O14" s="73">
        <f>N14*5/12*J14</f>
        <v>0</v>
      </c>
      <c r="P14" s="73">
        <f>7/12*N14*K14</f>
        <v>0</v>
      </c>
      <c r="Q14" s="74">
        <f>L14+M14+O14+P14</f>
        <v>0</v>
      </c>
      <c r="S14" s="4">
        <f>((J14/12*5)+(K14/12*7))-G14</f>
        <v>0</v>
      </c>
      <c r="T14" s="50">
        <f>S14*10000</f>
        <v>0</v>
      </c>
      <c r="U14" s="4">
        <f>S14*N14</f>
        <v>0</v>
      </c>
      <c r="V14" s="50">
        <f>SUM(T14:U14)</f>
        <v>0</v>
      </c>
      <c r="W14" s="4">
        <f>(Q14-E14)-V14</f>
        <v>0</v>
      </c>
      <c r="Y14" s="51">
        <v>0</v>
      </c>
      <c r="Z14" s="52">
        <v>6</v>
      </c>
      <c r="AA14" s="53">
        <f>(10000/12*5)*Y14</f>
        <v>0</v>
      </c>
      <c r="AB14" s="53">
        <f>(10000/12*7)*Z14</f>
        <v>35000</v>
      </c>
      <c r="AC14" s="54">
        <f>I14-10000</f>
        <v>15000</v>
      </c>
      <c r="AD14" s="55">
        <f>AC14*5/12*Y14</f>
        <v>0</v>
      </c>
      <c r="AE14" s="55">
        <f>7/12*AC14*Z14</f>
        <v>52500</v>
      </c>
      <c r="AF14" s="56">
        <f>AA14+AB14+AD14+AE14</f>
        <v>87500</v>
      </c>
      <c r="AI14" s="75"/>
      <c r="AJ14" s="76"/>
      <c r="AK14" s="75"/>
      <c r="AL14" s="77"/>
      <c r="AM14" s="78"/>
      <c r="AN14" s="77"/>
      <c r="AP14" s="143">
        <f t="shared" si="32"/>
        <v>0</v>
      </c>
      <c r="AQ14" s="152">
        <f t="shared" si="33"/>
        <v>0</v>
      </c>
      <c r="AR14" s="171">
        <f t="shared" si="34"/>
        <v>0</v>
      </c>
      <c r="AS14" s="172"/>
      <c r="AT14" s="172"/>
      <c r="AU14" s="173">
        <f t="shared" si="4"/>
        <v>0</v>
      </c>
      <c r="AV14" s="173">
        <v>0</v>
      </c>
      <c r="AW14" s="174">
        <f t="shared" si="5"/>
        <v>0</v>
      </c>
      <c r="AX14" s="159">
        <v>25000</v>
      </c>
      <c r="AY14" s="157">
        <v>0</v>
      </c>
      <c r="AZ14" s="157">
        <v>12</v>
      </c>
      <c r="BA14" s="157">
        <f t="shared" si="6"/>
        <v>7</v>
      </c>
      <c r="BB14" s="129">
        <f t="shared" si="35"/>
        <v>0</v>
      </c>
      <c r="BC14" s="141">
        <f>10000*(7+2)/12*AZ14</f>
        <v>90000</v>
      </c>
      <c r="BD14" s="129">
        <f t="shared" si="36"/>
        <v>0</v>
      </c>
      <c r="BE14" s="129">
        <f t="shared" si="8"/>
        <v>105000</v>
      </c>
      <c r="BF14" s="158">
        <f t="shared" si="37"/>
        <v>195000</v>
      </c>
      <c r="BG14" s="183">
        <v>25000</v>
      </c>
      <c r="BH14" s="184">
        <v>12</v>
      </c>
      <c r="BI14" s="184">
        <v>12</v>
      </c>
      <c r="BJ14" s="157">
        <f t="shared" si="9"/>
        <v>12</v>
      </c>
      <c r="BK14" s="129">
        <f>10000*5/12*BH14</f>
        <v>50000</v>
      </c>
      <c r="BL14" s="129">
        <f>10000*7/12*BI14</f>
        <v>70000</v>
      </c>
      <c r="BM14" s="129">
        <f t="shared" si="11"/>
        <v>75000</v>
      </c>
      <c r="BN14" s="129">
        <f t="shared" si="12"/>
        <v>105000</v>
      </c>
      <c r="BO14" s="158">
        <f>+SUM(BK14:BN14)</f>
        <v>300000</v>
      </c>
      <c r="BP14" s="150">
        <f t="shared" si="40"/>
        <v>105000</v>
      </c>
    </row>
    <row r="15" spans="1:68">
      <c r="A15" s="1">
        <v>2065</v>
      </c>
      <c r="B15" s="61" t="s">
        <v>46</v>
      </c>
      <c r="C15" s="62" t="s">
        <v>33</v>
      </c>
      <c r="D15" s="63" t="s">
        <v>47</v>
      </c>
      <c r="E15" s="64">
        <v>450000.40619200002</v>
      </c>
      <c r="F15" s="65">
        <v>20</v>
      </c>
      <c r="G15" s="65">
        <v>18</v>
      </c>
      <c r="H15" s="66">
        <f t="shared" si="0"/>
        <v>25000.022566222222</v>
      </c>
      <c r="I15" s="67">
        <f>20000+$G$3</f>
        <v>21500</v>
      </c>
      <c r="J15" s="68">
        <f t="shared" si="14"/>
        <v>18</v>
      </c>
      <c r="K15" s="69">
        <f>J15+2</f>
        <v>20</v>
      </c>
      <c r="L15" s="70">
        <f t="shared" si="15"/>
        <v>75000</v>
      </c>
      <c r="M15" s="71">
        <f t="shared" si="16"/>
        <v>116666.66666666669</v>
      </c>
      <c r="N15" s="72">
        <f t="shared" si="3"/>
        <v>11500</v>
      </c>
      <c r="O15" s="73">
        <f t="shared" si="17"/>
        <v>86250</v>
      </c>
      <c r="P15" s="73">
        <f t="shared" si="18"/>
        <v>134166.66666666669</v>
      </c>
      <c r="Q15" s="74">
        <f t="shared" si="19"/>
        <v>412083.33333333337</v>
      </c>
      <c r="S15" s="4">
        <f t="shared" si="20"/>
        <v>1.1666666666666679</v>
      </c>
      <c r="T15" s="50">
        <f t="shared" si="21"/>
        <v>11666.666666666679</v>
      </c>
      <c r="U15" s="4">
        <f t="shared" si="22"/>
        <v>13416.666666666681</v>
      </c>
      <c r="V15" s="50">
        <f t="shared" si="23"/>
        <v>25083.333333333358</v>
      </c>
      <c r="W15" s="4">
        <f t="shared" si="24"/>
        <v>-63000.406192000009</v>
      </c>
      <c r="Y15" s="51">
        <v>20</v>
      </c>
      <c r="Z15" s="52">
        <v>20</v>
      </c>
      <c r="AA15" s="141">
        <f>(10000/12*5)*(Y15+Y16)</f>
        <v>100000</v>
      </c>
      <c r="AB15" s="141">
        <f>(10000/12*7)*(Z15+Z16)</f>
        <v>151666.66666666669</v>
      </c>
      <c r="AC15" s="54">
        <f t="shared" si="27"/>
        <v>11500</v>
      </c>
      <c r="AD15" s="55">
        <f t="shared" si="28"/>
        <v>95833.333333333343</v>
      </c>
      <c r="AE15" s="55">
        <f t="shared" si="29"/>
        <v>134166.66666666669</v>
      </c>
      <c r="AF15" s="56">
        <f t="shared" si="30"/>
        <v>481666.66666666669</v>
      </c>
      <c r="AH15" s="6">
        <f t="shared" si="31"/>
        <v>387000</v>
      </c>
      <c r="AI15" s="75">
        <v>286241</v>
      </c>
      <c r="AJ15" s="76">
        <v>0.13100000000000001</v>
      </c>
      <c r="AK15" s="75">
        <v>312229</v>
      </c>
      <c r="AL15" s="77">
        <v>0.13700000000000001</v>
      </c>
      <c r="AM15" s="78">
        <v>424706</v>
      </c>
      <c r="AN15" s="77">
        <v>0.17899999999999999</v>
      </c>
      <c r="AP15" s="143">
        <f t="shared" si="32"/>
        <v>18</v>
      </c>
      <c r="AQ15" s="152">
        <f t="shared" si="33"/>
        <v>450000.40619200002</v>
      </c>
      <c r="AR15" s="171">
        <f t="shared" si="34"/>
        <v>19.166666666666668</v>
      </c>
      <c r="AS15" s="172">
        <v>19.166666666666668</v>
      </c>
      <c r="AT15" s="172">
        <v>22.25</v>
      </c>
      <c r="AU15" s="173">
        <f t="shared" si="4"/>
        <v>412083.33333333337</v>
      </c>
      <c r="AV15" s="173">
        <v>469437.5</v>
      </c>
      <c r="AW15" s="174">
        <f t="shared" si="5"/>
        <v>57354.166666666628</v>
      </c>
      <c r="AX15" s="156">
        <v>20000</v>
      </c>
      <c r="AY15" s="157">
        <v>20</v>
      </c>
      <c r="AZ15" s="157">
        <v>20</v>
      </c>
      <c r="BA15" s="157">
        <f t="shared" si="6"/>
        <v>20</v>
      </c>
      <c r="BB15" s="129">
        <f t="shared" si="35"/>
        <v>83333.333333333343</v>
      </c>
      <c r="BC15" s="129">
        <f t="shared" ref="BC15:BC27" si="41">10000*7/12*AZ15</f>
        <v>116666.66666666666</v>
      </c>
      <c r="BD15" s="129">
        <f t="shared" si="36"/>
        <v>83333.333333333343</v>
      </c>
      <c r="BE15" s="129">
        <f t="shared" si="8"/>
        <v>116666.66666666666</v>
      </c>
      <c r="BF15" s="158">
        <f t="shared" si="37"/>
        <v>400000</v>
      </c>
      <c r="BG15" s="183">
        <v>20000</v>
      </c>
      <c r="BH15" s="184">
        <v>20</v>
      </c>
      <c r="BI15" s="184">
        <v>20</v>
      </c>
      <c r="BJ15" s="157">
        <f t="shared" si="9"/>
        <v>20</v>
      </c>
      <c r="BK15" s="129">
        <f t="shared" si="38"/>
        <v>83333.333333333343</v>
      </c>
      <c r="BL15" s="129">
        <f t="shared" ref="BL15:BL27" si="42">10000*7/12*BI15</f>
        <v>116666.66666666666</v>
      </c>
      <c r="BM15" s="129">
        <f t="shared" si="11"/>
        <v>83333.333333333343</v>
      </c>
      <c r="BN15" s="129">
        <f t="shared" si="12"/>
        <v>116666.66666666666</v>
      </c>
      <c r="BO15" s="158">
        <f t="shared" si="39"/>
        <v>400000</v>
      </c>
      <c r="BP15" s="150">
        <f t="shared" si="40"/>
        <v>0</v>
      </c>
    </row>
    <row r="16" spans="1:68">
      <c r="B16" s="61" t="s">
        <v>88</v>
      </c>
      <c r="C16" s="62" t="s">
        <v>33</v>
      </c>
      <c r="D16" s="63" t="s">
        <v>47</v>
      </c>
      <c r="E16" s="64"/>
      <c r="F16" s="65"/>
      <c r="G16" s="65"/>
      <c r="H16" s="66"/>
      <c r="I16" s="67">
        <f>20000+$G$3</f>
        <v>21500</v>
      </c>
      <c r="J16" s="68">
        <f>G16</f>
        <v>0</v>
      </c>
      <c r="K16" s="69"/>
      <c r="L16" s="70">
        <f>(10000/12*5)*J16</f>
        <v>0</v>
      </c>
      <c r="M16" s="71">
        <f>(10000/12*7)*K16</f>
        <v>0</v>
      </c>
      <c r="N16" s="72">
        <f>I16-10000</f>
        <v>11500</v>
      </c>
      <c r="O16" s="73">
        <f>N16*5/12*J16</f>
        <v>0</v>
      </c>
      <c r="P16" s="73">
        <f>7/12*N16*K16</f>
        <v>0</v>
      </c>
      <c r="Q16" s="74">
        <f>L16+M16+O16+P16</f>
        <v>0</v>
      </c>
      <c r="S16" s="4">
        <f>((J16/12*5)+(K16/12*7))-G16</f>
        <v>0</v>
      </c>
      <c r="T16" s="50">
        <f>S16*10000</f>
        <v>0</v>
      </c>
      <c r="U16" s="4">
        <f>S16*N16</f>
        <v>0</v>
      </c>
      <c r="V16" s="50">
        <f>SUM(T16:U16)</f>
        <v>0</v>
      </c>
      <c r="W16" s="4">
        <f>(Q16-E16)-V16</f>
        <v>0</v>
      </c>
      <c r="Y16" s="51">
        <v>4</v>
      </c>
      <c r="Z16" s="52">
        <v>6</v>
      </c>
      <c r="AA16" s="141"/>
      <c r="AB16" s="141"/>
      <c r="AC16" s="54">
        <f>I16-10000</f>
        <v>11500</v>
      </c>
      <c r="AD16" s="55">
        <f>AC16*5/12*Y16</f>
        <v>19166.666666666668</v>
      </c>
      <c r="AE16" s="55">
        <f>7/12*AC16*Z16</f>
        <v>40250</v>
      </c>
      <c r="AF16" s="56">
        <f>AA16+AB16+AD16+AE16</f>
        <v>59416.666666666672</v>
      </c>
      <c r="AI16" s="75"/>
      <c r="AJ16" s="76"/>
      <c r="AK16" s="75"/>
      <c r="AL16" s="77"/>
      <c r="AM16" s="78"/>
      <c r="AN16" s="77"/>
      <c r="AP16" s="143">
        <f t="shared" si="32"/>
        <v>0</v>
      </c>
      <c r="AQ16" s="152">
        <f t="shared" si="33"/>
        <v>0</v>
      </c>
      <c r="AR16" s="171">
        <f t="shared" si="34"/>
        <v>0</v>
      </c>
      <c r="AS16" s="172">
        <v>2.3333333333333335</v>
      </c>
      <c r="AT16" s="172">
        <v>3</v>
      </c>
      <c r="AU16" s="173">
        <f t="shared" si="4"/>
        <v>0</v>
      </c>
      <c r="AV16" s="173">
        <v>29666.666666666664</v>
      </c>
      <c r="AW16" s="174">
        <f t="shared" si="5"/>
        <v>29666.666666666664</v>
      </c>
      <c r="AX16" s="156">
        <v>20000</v>
      </c>
      <c r="AY16" s="157">
        <v>4</v>
      </c>
      <c r="AZ16" s="157">
        <v>6</v>
      </c>
      <c r="BA16" s="157">
        <f t="shared" si="6"/>
        <v>5.166666666666667</v>
      </c>
      <c r="BB16" s="129">
        <f t="shared" si="35"/>
        <v>16666.666666666668</v>
      </c>
      <c r="BC16" s="129">
        <f t="shared" si="41"/>
        <v>35000</v>
      </c>
      <c r="BD16" s="129">
        <f t="shared" si="36"/>
        <v>16666.666666666668</v>
      </c>
      <c r="BE16" s="129">
        <f t="shared" si="8"/>
        <v>35000</v>
      </c>
      <c r="BF16" s="158">
        <f t="shared" si="37"/>
        <v>103333.33333333334</v>
      </c>
      <c r="BG16" s="183">
        <v>20000</v>
      </c>
      <c r="BH16" s="184">
        <v>6</v>
      </c>
      <c r="BI16" s="184">
        <v>9</v>
      </c>
      <c r="BJ16" s="157">
        <f t="shared" si="9"/>
        <v>7.75</v>
      </c>
      <c r="BK16" s="129">
        <f t="shared" si="38"/>
        <v>25000</v>
      </c>
      <c r="BL16" s="129">
        <f t="shared" si="42"/>
        <v>52500</v>
      </c>
      <c r="BM16" s="129">
        <f t="shared" si="11"/>
        <v>25000</v>
      </c>
      <c r="BN16" s="129">
        <f t="shared" si="12"/>
        <v>52500</v>
      </c>
      <c r="BO16" s="158">
        <f t="shared" si="39"/>
        <v>155000</v>
      </c>
      <c r="BP16" s="150">
        <f t="shared" si="40"/>
        <v>51666.666666666657</v>
      </c>
    </row>
    <row r="17" spans="1:68">
      <c r="A17" s="1">
        <v>4024</v>
      </c>
      <c r="B17" s="61" t="s">
        <v>48</v>
      </c>
      <c r="C17" s="62" t="s">
        <v>40</v>
      </c>
      <c r="D17" s="63" t="s">
        <v>47</v>
      </c>
      <c r="E17" s="64">
        <v>299999.60754600004</v>
      </c>
      <c r="F17" s="65">
        <v>12</v>
      </c>
      <c r="G17" s="65">
        <v>12</v>
      </c>
      <c r="H17" s="66">
        <f t="shared" si="0"/>
        <v>24999.967295500002</v>
      </c>
      <c r="I17" s="67">
        <f>20000+$G$3</f>
        <v>21500</v>
      </c>
      <c r="J17" s="68">
        <f t="shared" si="14"/>
        <v>12</v>
      </c>
      <c r="K17" s="69">
        <f>J17+4</f>
        <v>16</v>
      </c>
      <c r="L17" s="70">
        <f t="shared" si="15"/>
        <v>50000</v>
      </c>
      <c r="M17" s="71">
        <f t="shared" si="16"/>
        <v>93333.333333333343</v>
      </c>
      <c r="N17" s="72">
        <f t="shared" si="3"/>
        <v>11500</v>
      </c>
      <c r="O17" s="73">
        <f t="shared" si="17"/>
        <v>57500</v>
      </c>
      <c r="P17" s="73">
        <f t="shared" si="18"/>
        <v>107333.33333333334</v>
      </c>
      <c r="Q17" s="74">
        <f t="shared" si="19"/>
        <v>308166.66666666669</v>
      </c>
      <c r="S17" s="4">
        <f t="shared" si="20"/>
        <v>2.3333333333333321</v>
      </c>
      <c r="T17" s="50">
        <f t="shared" si="21"/>
        <v>23333.333333333321</v>
      </c>
      <c r="U17" s="4">
        <f t="shared" si="22"/>
        <v>26833.333333333321</v>
      </c>
      <c r="V17" s="50">
        <f t="shared" si="23"/>
        <v>50166.666666666642</v>
      </c>
      <c r="W17" s="4">
        <f t="shared" si="24"/>
        <v>-41999.607545999999</v>
      </c>
      <c r="Y17" s="51">
        <v>12</v>
      </c>
      <c r="Z17" s="52">
        <v>12</v>
      </c>
      <c r="AA17" s="53">
        <f t="shared" si="25"/>
        <v>50000</v>
      </c>
      <c r="AB17" s="53">
        <f>(10000/12*7)*Z17</f>
        <v>70000</v>
      </c>
      <c r="AC17" s="54">
        <f>I17-10000</f>
        <v>11500</v>
      </c>
      <c r="AD17" s="55">
        <f>AC17*5/12*Y17</f>
        <v>57500</v>
      </c>
      <c r="AE17" s="55">
        <f>7/12*AC17*Z17</f>
        <v>80500</v>
      </c>
      <c r="AF17" s="56">
        <f>AA17+AB17+AD17+AE17</f>
        <v>258000</v>
      </c>
      <c r="AH17" s="6">
        <f t="shared" si="31"/>
        <v>258000</v>
      </c>
      <c r="AI17" s="75">
        <v>1294982</v>
      </c>
      <c r="AJ17" s="76">
        <v>0.121</v>
      </c>
      <c r="AK17" s="75">
        <v>1451741</v>
      </c>
      <c r="AL17" s="77">
        <v>0.122</v>
      </c>
      <c r="AM17" s="78">
        <v>2324253</v>
      </c>
      <c r="AN17" s="77">
        <v>0.19700000000000001</v>
      </c>
      <c r="AP17" s="143">
        <f t="shared" si="32"/>
        <v>12</v>
      </c>
      <c r="AQ17" s="152">
        <f t="shared" si="33"/>
        <v>299999.60754600004</v>
      </c>
      <c r="AR17" s="171">
        <f t="shared" si="34"/>
        <v>14.333333333333334</v>
      </c>
      <c r="AS17" s="172">
        <v>12</v>
      </c>
      <c r="AT17" s="172">
        <v>7</v>
      </c>
      <c r="AU17" s="173">
        <f t="shared" si="4"/>
        <v>308166.66666666669</v>
      </c>
      <c r="AV17" s="173">
        <v>229250</v>
      </c>
      <c r="AW17" s="174">
        <f t="shared" si="5"/>
        <v>-78916.666666666686</v>
      </c>
      <c r="AX17" s="156">
        <v>20000</v>
      </c>
      <c r="AY17" s="157">
        <v>12</v>
      </c>
      <c r="AZ17" s="157">
        <v>12</v>
      </c>
      <c r="BA17" s="157">
        <f t="shared" si="6"/>
        <v>12</v>
      </c>
      <c r="BB17" s="129">
        <f t="shared" si="35"/>
        <v>50000</v>
      </c>
      <c r="BC17" s="129">
        <f t="shared" si="41"/>
        <v>70000</v>
      </c>
      <c r="BD17" s="129">
        <f t="shared" si="36"/>
        <v>50000</v>
      </c>
      <c r="BE17" s="129">
        <f t="shared" si="8"/>
        <v>70000</v>
      </c>
      <c r="BF17" s="158">
        <f t="shared" si="37"/>
        <v>240000</v>
      </c>
      <c r="BG17" s="183">
        <v>20000</v>
      </c>
      <c r="BH17" s="184">
        <v>12</v>
      </c>
      <c r="BI17" s="184">
        <v>12</v>
      </c>
      <c r="BJ17" s="157">
        <f t="shared" si="9"/>
        <v>12</v>
      </c>
      <c r="BK17" s="129">
        <f t="shared" si="38"/>
        <v>50000</v>
      </c>
      <c r="BL17" s="129">
        <f t="shared" si="42"/>
        <v>70000</v>
      </c>
      <c r="BM17" s="129">
        <f t="shared" si="11"/>
        <v>50000</v>
      </c>
      <c r="BN17" s="129">
        <f t="shared" si="12"/>
        <v>70000</v>
      </c>
      <c r="BO17" s="158">
        <f t="shared" si="39"/>
        <v>240000</v>
      </c>
      <c r="BP17" s="150">
        <f t="shared" si="40"/>
        <v>0</v>
      </c>
    </row>
    <row r="18" spans="1:68">
      <c r="A18" s="1">
        <v>7005</v>
      </c>
      <c r="B18" s="61" t="s">
        <v>49</v>
      </c>
      <c r="C18" s="62" t="s">
        <v>50</v>
      </c>
      <c r="D18" s="63" t="s">
        <v>51</v>
      </c>
      <c r="E18" s="64">
        <f>10*61500</f>
        <v>615000</v>
      </c>
      <c r="F18" s="65">
        <v>10</v>
      </c>
      <c r="G18" s="65">
        <f>F18</f>
        <v>10</v>
      </c>
      <c r="H18" s="66">
        <f t="shared" si="0"/>
        <v>61500</v>
      </c>
      <c r="I18" s="94">
        <v>61500</v>
      </c>
      <c r="J18" s="68">
        <f t="shared" si="14"/>
        <v>10</v>
      </c>
      <c r="K18" s="69">
        <v>12</v>
      </c>
      <c r="L18" s="70">
        <f t="shared" si="15"/>
        <v>41666.666666666672</v>
      </c>
      <c r="M18" s="71">
        <f t="shared" si="16"/>
        <v>70000</v>
      </c>
      <c r="N18" s="72">
        <f t="shared" si="3"/>
        <v>51500</v>
      </c>
      <c r="O18" s="73">
        <f t="shared" si="17"/>
        <v>214583.33333333331</v>
      </c>
      <c r="P18" s="73">
        <f t="shared" si="18"/>
        <v>360500</v>
      </c>
      <c r="Q18" s="74">
        <f t="shared" si="19"/>
        <v>686750</v>
      </c>
      <c r="S18" s="4">
        <f t="shared" si="20"/>
        <v>1.1666666666666679</v>
      </c>
      <c r="T18" s="50">
        <f t="shared" si="21"/>
        <v>11666.666666666679</v>
      </c>
      <c r="U18" s="4">
        <f t="shared" si="22"/>
        <v>60083.333333333394</v>
      </c>
      <c r="V18" s="50">
        <f t="shared" si="23"/>
        <v>71750.000000000073</v>
      </c>
      <c r="W18" s="4">
        <f t="shared" si="24"/>
        <v>0</v>
      </c>
      <c r="Y18" s="51">
        <v>12</v>
      </c>
      <c r="Z18" s="52">
        <v>12</v>
      </c>
      <c r="AA18" s="53">
        <f t="shared" si="25"/>
        <v>50000</v>
      </c>
      <c r="AB18" s="53">
        <f t="shared" si="26"/>
        <v>70000</v>
      </c>
      <c r="AC18" s="54">
        <f t="shared" si="27"/>
        <v>51500</v>
      </c>
      <c r="AD18" s="55">
        <f t="shared" si="28"/>
        <v>257500</v>
      </c>
      <c r="AE18" s="55">
        <f t="shared" si="29"/>
        <v>360500</v>
      </c>
      <c r="AF18" s="56">
        <f t="shared" si="30"/>
        <v>738000</v>
      </c>
      <c r="AH18" s="6">
        <f t="shared" si="31"/>
        <v>615000</v>
      </c>
      <c r="AI18" s="75">
        <v>671948</v>
      </c>
      <c r="AJ18" s="76">
        <v>0.12</v>
      </c>
      <c r="AK18" s="75">
        <v>1349789</v>
      </c>
      <c r="AL18" s="77">
        <v>0.20599999999999999</v>
      </c>
      <c r="AM18" s="78">
        <v>1262596</v>
      </c>
      <c r="AN18" s="77">
        <v>0.19</v>
      </c>
      <c r="AP18" s="143">
        <f t="shared" si="32"/>
        <v>10</v>
      </c>
      <c r="AQ18" s="152">
        <f t="shared" si="33"/>
        <v>615000</v>
      </c>
      <c r="AR18" s="171">
        <f t="shared" si="34"/>
        <v>11.166666666666666</v>
      </c>
      <c r="AS18" s="172">
        <v>11.166666666666666</v>
      </c>
      <c r="AT18" s="172">
        <v>10.5</v>
      </c>
      <c r="AU18" s="173">
        <f t="shared" si="4"/>
        <v>686750</v>
      </c>
      <c r="AV18" s="173">
        <v>673875</v>
      </c>
      <c r="AW18" s="174">
        <f t="shared" si="5"/>
        <v>-12875</v>
      </c>
      <c r="AX18" s="156">
        <v>61500</v>
      </c>
      <c r="AY18" s="157">
        <v>12</v>
      </c>
      <c r="AZ18" s="157">
        <v>12</v>
      </c>
      <c r="BA18" s="157">
        <f t="shared" si="6"/>
        <v>12</v>
      </c>
      <c r="BB18" s="129">
        <f t="shared" si="35"/>
        <v>50000</v>
      </c>
      <c r="BC18" s="129">
        <f t="shared" si="41"/>
        <v>70000</v>
      </c>
      <c r="BD18" s="129">
        <f t="shared" si="36"/>
        <v>257500</v>
      </c>
      <c r="BE18" s="129">
        <f t="shared" si="8"/>
        <v>360500</v>
      </c>
      <c r="BF18" s="158">
        <f t="shared" si="37"/>
        <v>738000</v>
      </c>
      <c r="BG18" s="183">
        <v>61500</v>
      </c>
      <c r="BH18" s="184">
        <v>12</v>
      </c>
      <c r="BI18" s="184">
        <v>12</v>
      </c>
      <c r="BJ18" s="157">
        <f t="shared" si="9"/>
        <v>12</v>
      </c>
      <c r="BK18" s="129">
        <f t="shared" si="38"/>
        <v>50000</v>
      </c>
      <c r="BL18" s="129">
        <f t="shared" si="42"/>
        <v>70000</v>
      </c>
      <c r="BM18" s="129">
        <f t="shared" si="11"/>
        <v>257500</v>
      </c>
      <c r="BN18" s="129">
        <f t="shared" si="12"/>
        <v>360500</v>
      </c>
      <c r="BO18" s="158">
        <f t="shared" si="39"/>
        <v>738000</v>
      </c>
      <c r="BP18" s="150">
        <f t="shared" si="40"/>
        <v>0</v>
      </c>
    </row>
    <row r="19" spans="1:68">
      <c r="A19" s="1">
        <v>2004</v>
      </c>
      <c r="B19" s="61" t="s">
        <v>52</v>
      </c>
      <c r="C19" s="62" t="s">
        <v>33</v>
      </c>
      <c r="D19" s="95" t="s">
        <v>53</v>
      </c>
      <c r="E19" s="64">
        <v>149766.43530000001</v>
      </c>
      <c r="F19" s="65">
        <v>12</v>
      </c>
      <c r="G19" s="65">
        <f>F19</f>
        <v>12</v>
      </c>
      <c r="H19" s="66">
        <f t="shared" si="0"/>
        <v>12480.536275</v>
      </c>
      <c r="I19" s="67">
        <f>12000+$G$3</f>
        <v>13500</v>
      </c>
      <c r="J19" s="68">
        <f t="shared" si="14"/>
        <v>12</v>
      </c>
      <c r="K19" s="69">
        <f>J19+4</f>
        <v>16</v>
      </c>
      <c r="L19" s="70">
        <f t="shared" si="15"/>
        <v>50000</v>
      </c>
      <c r="M19" s="71">
        <f t="shared" si="16"/>
        <v>93333.333333333343</v>
      </c>
      <c r="N19" s="72">
        <f t="shared" si="3"/>
        <v>3500</v>
      </c>
      <c r="O19" s="73">
        <f t="shared" si="17"/>
        <v>17500</v>
      </c>
      <c r="P19" s="73">
        <f t="shared" si="18"/>
        <v>32666.666666666668</v>
      </c>
      <c r="Q19" s="74">
        <f t="shared" si="19"/>
        <v>193500</v>
      </c>
      <c r="S19" s="4">
        <f t="shared" si="20"/>
        <v>2.3333333333333321</v>
      </c>
      <c r="T19" s="50">
        <f t="shared" si="21"/>
        <v>23333.333333333321</v>
      </c>
      <c r="U19" s="4">
        <f t="shared" si="22"/>
        <v>8166.6666666666624</v>
      </c>
      <c r="V19" s="50">
        <f t="shared" si="23"/>
        <v>31499.999999999985</v>
      </c>
      <c r="W19" s="4">
        <f t="shared" si="24"/>
        <v>12233.564700000003</v>
      </c>
      <c r="Y19" s="51">
        <v>12</v>
      </c>
      <c r="Z19" s="52">
        <v>12</v>
      </c>
      <c r="AA19" s="53">
        <f t="shared" si="25"/>
        <v>50000</v>
      </c>
      <c r="AB19" s="53">
        <f t="shared" si="26"/>
        <v>70000</v>
      </c>
      <c r="AC19" s="54">
        <f t="shared" si="27"/>
        <v>3500</v>
      </c>
      <c r="AD19" s="55">
        <f t="shared" si="28"/>
        <v>17500</v>
      </c>
      <c r="AE19" s="55">
        <f t="shared" si="29"/>
        <v>24500</v>
      </c>
      <c r="AF19" s="56">
        <f t="shared" si="30"/>
        <v>162000</v>
      </c>
      <c r="AH19" s="6">
        <f t="shared" si="31"/>
        <v>162000</v>
      </c>
      <c r="AI19" s="75">
        <v>54639</v>
      </c>
      <c r="AJ19" s="76">
        <v>3.1E-2</v>
      </c>
      <c r="AK19" s="75">
        <v>-83961</v>
      </c>
      <c r="AL19" s="77">
        <v>-4.4999999999999998E-2</v>
      </c>
      <c r="AM19" s="78">
        <v>30432</v>
      </c>
      <c r="AN19" s="77">
        <v>1.4999999999999999E-2</v>
      </c>
      <c r="AP19" s="143">
        <f t="shared" si="32"/>
        <v>12</v>
      </c>
      <c r="AQ19" s="152">
        <f t="shared" si="33"/>
        <v>149766.43530000001</v>
      </c>
      <c r="AR19" s="171">
        <f t="shared" si="34"/>
        <v>14.333333333333334</v>
      </c>
      <c r="AS19" s="172">
        <v>12</v>
      </c>
      <c r="AT19" s="172">
        <v>8.8333333333333339</v>
      </c>
      <c r="AU19" s="173">
        <f t="shared" si="4"/>
        <v>193500</v>
      </c>
      <c r="AV19" s="173">
        <v>156458.33333333334</v>
      </c>
      <c r="AW19" s="174">
        <f t="shared" si="5"/>
        <v>-37041.666666666657</v>
      </c>
      <c r="AX19" s="156">
        <v>12000</v>
      </c>
      <c r="AY19" s="157">
        <v>12</v>
      </c>
      <c r="AZ19" s="157">
        <v>12</v>
      </c>
      <c r="BA19" s="157">
        <f t="shared" si="6"/>
        <v>12</v>
      </c>
      <c r="BB19" s="129">
        <f t="shared" si="35"/>
        <v>50000</v>
      </c>
      <c r="BC19" s="129">
        <f t="shared" si="41"/>
        <v>70000</v>
      </c>
      <c r="BD19" s="129">
        <f t="shared" si="36"/>
        <v>10000</v>
      </c>
      <c r="BE19" s="129">
        <f t="shared" si="8"/>
        <v>14000</v>
      </c>
      <c r="BF19" s="158">
        <f t="shared" si="37"/>
        <v>144000</v>
      </c>
      <c r="BG19" s="183">
        <v>12000</v>
      </c>
      <c r="BH19" s="184">
        <v>12</v>
      </c>
      <c r="BI19" s="184">
        <v>12</v>
      </c>
      <c r="BJ19" s="157">
        <f t="shared" si="9"/>
        <v>12</v>
      </c>
      <c r="BK19" s="186">
        <v>0</v>
      </c>
      <c r="BL19" s="186">
        <v>0</v>
      </c>
      <c r="BM19" s="129">
        <f t="shared" si="11"/>
        <v>10000</v>
      </c>
      <c r="BN19" s="129">
        <f t="shared" si="12"/>
        <v>14000</v>
      </c>
      <c r="BO19" s="158">
        <f t="shared" si="39"/>
        <v>24000</v>
      </c>
      <c r="BP19" s="150">
        <f t="shared" si="40"/>
        <v>-120000</v>
      </c>
    </row>
    <row r="20" spans="1:68">
      <c r="A20" s="1">
        <v>2070</v>
      </c>
      <c r="B20" s="61" t="s">
        <v>54</v>
      </c>
      <c r="C20" s="62" t="s">
        <v>33</v>
      </c>
      <c r="D20" s="95" t="s">
        <v>53</v>
      </c>
      <c r="E20" s="64">
        <v>249368.48307000002</v>
      </c>
      <c r="F20" s="65">
        <v>20</v>
      </c>
      <c r="G20" s="65">
        <f>F20</f>
        <v>20</v>
      </c>
      <c r="H20" s="66">
        <f t="shared" si="0"/>
        <v>12468.4241535</v>
      </c>
      <c r="I20" s="67">
        <f>12000+$G$3</f>
        <v>13500</v>
      </c>
      <c r="J20" s="68">
        <f t="shared" si="14"/>
        <v>20</v>
      </c>
      <c r="K20" s="69">
        <f>J20</f>
        <v>20</v>
      </c>
      <c r="L20" s="70">
        <f t="shared" si="15"/>
        <v>83333.333333333343</v>
      </c>
      <c r="M20" s="71">
        <f t="shared" si="16"/>
        <v>116666.66666666669</v>
      </c>
      <c r="N20" s="72">
        <f t="shared" si="3"/>
        <v>3500</v>
      </c>
      <c r="O20" s="73">
        <f t="shared" si="17"/>
        <v>29166.666666666664</v>
      </c>
      <c r="P20" s="73">
        <f t="shared" si="18"/>
        <v>40833.333333333336</v>
      </c>
      <c r="Q20" s="74">
        <f t="shared" si="19"/>
        <v>270000</v>
      </c>
      <c r="S20" s="4">
        <f t="shared" si="20"/>
        <v>0</v>
      </c>
      <c r="T20" s="50">
        <f t="shared" si="21"/>
        <v>0</v>
      </c>
      <c r="U20" s="4">
        <f t="shared" si="22"/>
        <v>0</v>
      </c>
      <c r="V20" s="50">
        <f t="shared" si="23"/>
        <v>0</v>
      </c>
      <c r="W20" s="4">
        <f t="shared" si="24"/>
        <v>20631.516929999983</v>
      </c>
      <c r="Y20" s="51">
        <v>20</v>
      </c>
      <c r="Z20" s="52">
        <v>20</v>
      </c>
      <c r="AA20" s="53">
        <f t="shared" si="25"/>
        <v>83333.333333333343</v>
      </c>
      <c r="AB20" s="53">
        <f t="shared" si="26"/>
        <v>116666.66666666669</v>
      </c>
      <c r="AC20" s="54">
        <f t="shared" si="27"/>
        <v>3500</v>
      </c>
      <c r="AD20" s="55">
        <f t="shared" si="28"/>
        <v>29166.666666666664</v>
      </c>
      <c r="AE20" s="55">
        <f t="shared" si="29"/>
        <v>40833.333333333336</v>
      </c>
      <c r="AF20" s="56">
        <f t="shared" si="30"/>
        <v>270000</v>
      </c>
      <c r="AH20" s="6">
        <f t="shared" si="31"/>
        <v>270000</v>
      </c>
      <c r="AI20" s="75">
        <v>30631</v>
      </c>
      <c r="AJ20" s="76">
        <v>1.4999999999999999E-2</v>
      </c>
      <c r="AK20" s="75">
        <v>-15070</v>
      </c>
      <c r="AL20" s="77">
        <v>-7.0000000000000001E-3</v>
      </c>
      <c r="AM20" s="78">
        <v>56596</v>
      </c>
      <c r="AN20" s="77">
        <v>2.4E-2</v>
      </c>
      <c r="AP20" s="143">
        <f t="shared" si="32"/>
        <v>20</v>
      </c>
      <c r="AQ20" s="152">
        <f t="shared" si="33"/>
        <v>249368.48307000002</v>
      </c>
      <c r="AR20" s="171">
        <f t="shared" si="34"/>
        <v>20</v>
      </c>
      <c r="AS20" s="172">
        <v>20</v>
      </c>
      <c r="AT20" s="172">
        <v>15.666666666666666</v>
      </c>
      <c r="AU20" s="173">
        <f t="shared" si="4"/>
        <v>270000</v>
      </c>
      <c r="AV20" s="173">
        <v>262416.66666666669</v>
      </c>
      <c r="AW20" s="174">
        <f t="shared" si="5"/>
        <v>-7583.3333333333139</v>
      </c>
      <c r="AX20" s="156">
        <v>12000</v>
      </c>
      <c r="AY20" s="157">
        <v>20</v>
      </c>
      <c r="AZ20" s="157">
        <v>20</v>
      </c>
      <c r="BA20" s="157">
        <f t="shared" si="6"/>
        <v>20</v>
      </c>
      <c r="BB20" s="129">
        <f t="shared" si="35"/>
        <v>83333.333333333343</v>
      </c>
      <c r="BC20" s="129">
        <f t="shared" si="41"/>
        <v>116666.66666666666</v>
      </c>
      <c r="BD20" s="129">
        <f t="shared" si="36"/>
        <v>16666.666666666668</v>
      </c>
      <c r="BE20" s="129">
        <f t="shared" si="8"/>
        <v>23333.333333333336</v>
      </c>
      <c r="BF20" s="158">
        <f t="shared" si="37"/>
        <v>240000</v>
      </c>
      <c r="BG20" s="183">
        <v>12000</v>
      </c>
      <c r="BH20" s="184">
        <v>20</v>
      </c>
      <c r="BI20" s="184">
        <v>20</v>
      </c>
      <c r="BJ20" s="157">
        <f t="shared" si="9"/>
        <v>20</v>
      </c>
      <c r="BK20" s="129">
        <f t="shared" si="38"/>
        <v>83333.333333333343</v>
      </c>
      <c r="BL20" s="129">
        <f t="shared" si="42"/>
        <v>116666.66666666666</v>
      </c>
      <c r="BM20" s="129">
        <f t="shared" si="11"/>
        <v>16666.666666666668</v>
      </c>
      <c r="BN20" s="129">
        <f t="shared" si="12"/>
        <v>23333.333333333336</v>
      </c>
      <c r="BO20" s="158">
        <f t="shared" si="39"/>
        <v>240000</v>
      </c>
      <c r="BP20" s="150">
        <f t="shared" si="40"/>
        <v>0</v>
      </c>
    </row>
    <row r="21" spans="1:68">
      <c r="B21" s="61" t="s">
        <v>86</v>
      </c>
      <c r="C21" s="62" t="s">
        <v>33</v>
      </c>
      <c r="D21" s="95" t="s">
        <v>53</v>
      </c>
      <c r="E21" s="64"/>
      <c r="F21" s="65"/>
      <c r="G21" s="65"/>
      <c r="H21" s="66"/>
      <c r="I21" s="67">
        <f>12000+$G$3</f>
        <v>13500</v>
      </c>
      <c r="J21" s="68">
        <f>G21</f>
        <v>0</v>
      </c>
      <c r="K21" s="69">
        <f>J21</f>
        <v>0</v>
      </c>
      <c r="L21" s="70">
        <f>(10000/12*5)*J21</f>
        <v>0</v>
      </c>
      <c r="M21" s="71">
        <f>(10000/12*7)*K21</f>
        <v>0</v>
      </c>
      <c r="N21" s="72">
        <f>I21-10000</f>
        <v>3500</v>
      </c>
      <c r="O21" s="73">
        <f>N21*5/12*J21</f>
        <v>0</v>
      </c>
      <c r="P21" s="73">
        <f>7/12*N21*K21</f>
        <v>0</v>
      </c>
      <c r="Q21" s="74">
        <f>L21+M21+O21+P21</f>
        <v>0</v>
      </c>
      <c r="S21" s="4">
        <f>((J21/12*5)+(K21/12*7))-G21</f>
        <v>0</v>
      </c>
      <c r="T21" s="50">
        <f>S21*10000</f>
        <v>0</v>
      </c>
      <c r="U21" s="4">
        <f>S21*N21</f>
        <v>0</v>
      </c>
      <c r="V21" s="50">
        <f>SUM(T21:U21)</f>
        <v>0</v>
      </c>
      <c r="W21" s="4">
        <f>(Q21-E21)-V21</f>
        <v>0</v>
      </c>
      <c r="Y21" s="51">
        <v>6</v>
      </c>
      <c r="Z21" s="52">
        <v>12</v>
      </c>
      <c r="AA21" s="53"/>
      <c r="AB21" s="53"/>
      <c r="AC21" s="54"/>
      <c r="AD21" s="55"/>
      <c r="AE21" s="55"/>
      <c r="AF21" s="56"/>
      <c r="AI21" s="75"/>
      <c r="AJ21" s="76"/>
      <c r="AK21" s="75"/>
      <c r="AL21" s="77"/>
      <c r="AM21" s="78"/>
      <c r="AN21" s="77"/>
      <c r="AP21" s="143">
        <f t="shared" si="32"/>
        <v>0</v>
      </c>
      <c r="AQ21" s="152">
        <f t="shared" si="33"/>
        <v>0</v>
      </c>
      <c r="AR21" s="171">
        <f t="shared" si="34"/>
        <v>0</v>
      </c>
      <c r="AS21" s="172">
        <v>1.75</v>
      </c>
      <c r="AT21" s="172"/>
      <c r="AU21" s="173">
        <f t="shared" si="4"/>
        <v>0</v>
      </c>
      <c r="AV21" s="173">
        <v>32000</v>
      </c>
      <c r="AW21" s="174">
        <f t="shared" si="5"/>
        <v>32000</v>
      </c>
      <c r="AX21" s="156">
        <v>12000</v>
      </c>
      <c r="AY21" s="157">
        <v>6</v>
      </c>
      <c r="AZ21" s="157">
        <v>12</v>
      </c>
      <c r="BA21" s="157">
        <f t="shared" si="6"/>
        <v>9.5</v>
      </c>
      <c r="BB21" s="129">
        <f t="shared" si="35"/>
        <v>25000</v>
      </c>
      <c r="BC21" s="129">
        <f t="shared" si="41"/>
        <v>70000</v>
      </c>
      <c r="BD21" s="129">
        <f t="shared" si="36"/>
        <v>5000</v>
      </c>
      <c r="BE21" s="129">
        <f t="shared" si="8"/>
        <v>14000</v>
      </c>
      <c r="BF21" s="158">
        <f t="shared" si="37"/>
        <v>114000</v>
      </c>
      <c r="BG21" s="183">
        <v>12000</v>
      </c>
      <c r="BH21" s="184">
        <v>12</v>
      </c>
      <c r="BI21" s="184">
        <v>12</v>
      </c>
      <c r="BJ21" s="157">
        <f t="shared" si="9"/>
        <v>12</v>
      </c>
      <c r="BK21" s="129">
        <f t="shared" si="38"/>
        <v>50000</v>
      </c>
      <c r="BL21" s="129">
        <f t="shared" si="42"/>
        <v>70000</v>
      </c>
      <c r="BM21" s="129">
        <f t="shared" si="11"/>
        <v>10000</v>
      </c>
      <c r="BN21" s="129">
        <f t="shared" si="12"/>
        <v>14000</v>
      </c>
      <c r="BO21" s="158">
        <f t="shared" si="39"/>
        <v>144000</v>
      </c>
      <c r="BP21" s="150">
        <f t="shared" si="40"/>
        <v>30000</v>
      </c>
    </row>
    <row r="22" spans="1:68">
      <c r="A22" s="1">
        <v>4704</v>
      </c>
      <c r="B22" s="61" t="s">
        <v>55</v>
      </c>
      <c r="C22" s="62" t="s">
        <v>40</v>
      </c>
      <c r="D22" s="95" t="s">
        <v>53</v>
      </c>
      <c r="E22" s="64">
        <v>359999.74076999997</v>
      </c>
      <c r="F22" s="65">
        <v>30</v>
      </c>
      <c r="G22" s="65">
        <f>F22</f>
        <v>30</v>
      </c>
      <c r="H22" s="66">
        <f t="shared" si="0"/>
        <v>11999.991359</v>
      </c>
      <c r="I22" s="67">
        <f>12000+$G$3</f>
        <v>13500</v>
      </c>
      <c r="J22" s="68">
        <f>G22</f>
        <v>30</v>
      </c>
      <c r="K22" s="69">
        <f>J22</f>
        <v>30</v>
      </c>
      <c r="L22" s="70">
        <f>(10000/12*5)*J22</f>
        <v>125000.00000000001</v>
      </c>
      <c r="M22" s="71">
        <f>(10000/12*7)*K22</f>
        <v>175000.00000000003</v>
      </c>
      <c r="N22" s="72">
        <f>I22-10000</f>
        <v>3500</v>
      </c>
      <c r="O22" s="73">
        <f>N22*5/12*J22</f>
        <v>43750</v>
      </c>
      <c r="P22" s="73">
        <f>7/12*N22*K22</f>
        <v>61250</v>
      </c>
      <c r="Q22" s="74">
        <f>L22+M22+O22+P22</f>
        <v>405000.00000000006</v>
      </c>
      <c r="S22" s="4">
        <f>((J22/12*5)+(K22/12*7))-G22</f>
        <v>0</v>
      </c>
      <c r="T22" s="50">
        <f>S22*10000</f>
        <v>0</v>
      </c>
      <c r="U22" s="4">
        <f>S22*N22</f>
        <v>0</v>
      </c>
      <c r="V22" s="50">
        <f>SUM(T22:U22)</f>
        <v>0</v>
      </c>
      <c r="W22" s="4">
        <f>(Q22-E22)-V22</f>
        <v>45000.259230000083</v>
      </c>
      <c r="Y22" s="51">
        <v>30</v>
      </c>
      <c r="Z22" s="52">
        <v>30</v>
      </c>
      <c r="AA22" s="53">
        <f t="shared" si="25"/>
        <v>125000.00000000001</v>
      </c>
      <c r="AB22" s="53">
        <f t="shared" si="26"/>
        <v>175000.00000000003</v>
      </c>
      <c r="AC22" s="54">
        <f t="shared" si="27"/>
        <v>3500</v>
      </c>
      <c r="AD22" s="55">
        <f t="shared" si="28"/>
        <v>43750</v>
      </c>
      <c r="AE22" s="55">
        <f t="shared" si="29"/>
        <v>61250</v>
      </c>
      <c r="AF22" s="56">
        <f t="shared" si="30"/>
        <v>405000.00000000006</v>
      </c>
      <c r="AH22" s="6">
        <f t="shared" si="31"/>
        <v>405000</v>
      </c>
      <c r="AI22" s="75" t="s">
        <v>38</v>
      </c>
      <c r="AJ22" s="76" t="s">
        <v>38</v>
      </c>
      <c r="AK22" s="75">
        <v>148163</v>
      </c>
      <c r="AL22" s="77">
        <v>1.9E-2</v>
      </c>
      <c r="AM22" s="78">
        <v>1281837</v>
      </c>
      <c r="AN22" s="77">
        <v>0.155</v>
      </c>
      <c r="AP22" s="143">
        <f t="shared" si="32"/>
        <v>30</v>
      </c>
      <c r="AQ22" s="152">
        <f t="shared" si="33"/>
        <v>359999.74076999997</v>
      </c>
      <c r="AR22" s="171">
        <f t="shared" si="34"/>
        <v>30</v>
      </c>
      <c r="AS22" s="172">
        <v>30</v>
      </c>
      <c r="AT22" s="172">
        <v>23.5</v>
      </c>
      <c r="AU22" s="173">
        <f t="shared" si="4"/>
        <v>405000.00000000006</v>
      </c>
      <c r="AV22" s="173">
        <v>393625.00000000006</v>
      </c>
      <c r="AW22" s="174">
        <f t="shared" si="5"/>
        <v>-11375</v>
      </c>
      <c r="AX22" s="156">
        <v>12000</v>
      </c>
      <c r="AY22" s="157">
        <v>30</v>
      </c>
      <c r="AZ22" s="157">
        <v>30</v>
      </c>
      <c r="BA22" s="157">
        <f t="shared" si="6"/>
        <v>30</v>
      </c>
      <c r="BB22" s="129">
        <f t="shared" si="35"/>
        <v>125000.00000000001</v>
      </c>
      <c r="BC22" s="129">
        <f t="shared" si="41"/>
        <v>175000</v>
      </c>
      <c r="BD22" s="129">
        <f t="shared" si="36"/>
        <v>25000</v>
      </c>
      <c r="BE22" s="129">
        <f t="shared" si="8"/>
        <v>35000</v>
      </c>
      <c r="BF22" s="158">
        <f t="shared" si="37"/>
        <v>360000</v>
      </c>
      <c r="BG22" s="183">
        <v>12000</v>
      </c>
      <c r="BH22" s="184">
        <v>30</v>
      </c>
      <c r="BI22" s="184">
        <v>30</v>
      </c>
      <c r="BJ22" s="157">
        <f t="shared" si="9"/>
        <v>30</v>
      </c>
      <c r="BK22" s="129">
        <f t="shared" si="38"/>
        <v>125000.00000000001</v>
      </c>
      <c r="BL22" s="129">
        <f t="shared" si="42"/>
        <v>175000</v>
      </c>
      <c r="BM22" s="129">
        <f t="shared" si="11"/>
        <v>25000</v>
      </c>
      <c r="BN22" s="129">
        <f t="shared" si="12"/>
        <v>35000</v>
      </c>
      <c r="BO22" s="158">
        <f t="shared" si="39"/>
        <v>360000</v>
      </c>
      <c r="BP22" s="150">
        <f t="shared" si="40"/>
        <v>0</v>
      </c>
    </row>
    <row r="23" spans="1:68">
      <c r="A23" s="1">
        <v>4016</v>
      </c>
      <c r="B23" s="61" t="s">
        <v>56</v>
      </c>
      <c r="C23" s="62" t="s">
        <v>40</v>
      </c>
      <c r="D23" s="95" t="s">
        <v>53</v>
      </c>
      <c r="E23" s="64">
        <v>359999.74076999997</v>
      </c>
      <c r="F23" s="65">
        <v>30</v>
      </c>
      <c r="G23" s="65">
        <f>F23</f>
        <v>30</v>
      </c>
      <c r="H23" s="66">
        <f t="shared" si="0"/>
        <v>11999.991359</v>
      </c>
      <c r="I23" s="67">
        <f>12000+$G$3</f>
        <v>13500</v>
      </c>
      <c r="J23" s="68">
        <f t="shared" si="14"/>
        <v>30</v>
      </c>
      <c r="K23" s="69">
        <f>J23-15</f>
        <v>15</v>
      </c>
      <c r="L23" s="70">
        <f t="shared" si="15"/>
        <v>125000.00000000001</v>
      </c>
      <c r="M23" s="71">
        <f t="shared" si="16"/>
        <v>87500.000000000015</v>
      </c>
      <c r="N23" s="72">
        <f t="shared" si="3"/>
        <v>3500</v>
      </c>
      <c r="O23" s="73">
        <f t="shared" si="17"/>
        <v>43750</v>
      </c>
      <c r="P23" s="73">
        <f t="shared" si="18"/>
        <v>30625</v>
      </c>
      <c r="Q23" s="74">
        <f t="shared" si="19"/>
        <v>286875</v>
      </c>
      <c r="S23" s="4">
        <f t="shared" si="20"/>
        <v>-8.75</v>
      </c>
      <c r="T23" s="50">
        <f t="shared" si="21"/>
        <v>-87500</v>
      </c>
      <c r="U23" s="4">
        <f t="shared" si="22"/>
        <v>-30625</v>
      </c>
      <c r="V23" s="50">
        <f t="shared" si="23"/>
        <v>-118125</v>
      </c>
      <c r="W23" s="4">
        <f t="shared" si="24"/>
        <v>45000.259230000025</v>
      </c>
      <c r="Y23" s="51">
        <v>15</v>
      </c>
      <c r="Z23" s="52">
        <v>15</v>
      </c>
      <c r="AA23" s="53">
        <f t="shared" si="25"/>
        <v>62500.000000000007</v>
      </c>
      <c r="AB23" s="53">
        <f t="shared" si="26"/>
        <v>87500.000000000015</v>
      </c>
      <c r="AC23" s="54">
        <f t="shared" si="27"/>
        <v>3500</v>
      </c>
      <c r="AD23" s="55">
        <f t="shared" si="28"/>
        <v>21875</v>
      </c>
      <c r="AE23" s="55">
        <f t="shared" si="29"/>
        <v>30625</v>
      </c>
      <c r="AF23" s="56">
        <f t="shared" si="30"/>
        <v>202500.00000000003</v>
      </c>
      <c r="AH23" s="6">
        <f t="shared" si="31"/>
        <v>405000</v>
      </c>
      <c r="AI23" s="75">
        <v>-1852629</v>
      </c>
      <c r="AJ23" s="76">
        <v>-0.23300000000000001</v>
      </c>
      <c r="AK23" s="75">
        <v>-1598821</v>
      </c>
      <c r="AL23" s="77">
        <v>-0.185</v>
      </c>
      <c r="AM23" s="78">
        <v>-876401</v>
      </c>
      <c r="AN23" s="77">
        <v>-0.109</v>
      </c>
      <c r="AP23" s="143">
        <f t="shared" si="32"/>
        <v>30</v>
      </c>
      <c r="AQ23" s="152">
        <f t="shared" si="33"/>
        <v>359999.74076999997</v>
      </c>
      <c r="AR23" s="171">
        <f t="shared" si="34"/>
        <v>21.25</v>
      </c>
      <c r="AS23" s="172">
        <v>21.25</v>
      </c>
      <c r="AT23" s="172">
        <v>14.2</v>
      </c>
      <c r="AU23" s="173">
        <f t="shared" si="4"/>
        <v>286875</v>
      </c>
      <c r="AV23" s="173">
        <v>271416.66666666669</v>
      </c>
      <c r="AW23" s="174">
        <f t="shared" si="5"/>
        <v>-15458.333333333314</v>
      </c>
      <c r="AX23" s="156">
        <v>12000</v>
      </c>
      <c r="AY23" s="157">
        <v>15</v>
      </c>
      <c r="AZ23" s="157">
        <v>15</v>
      </c>
      <c r="BA23" s="157">
        <f t="shared" si="6"/>
        <v>15</v>
      </c>
      <c r="BB23" s="129">
        <f t="shared" si="35"/>
        <v>62500.000000000007</v>
      </c>
      <c r="BC23" s="129">
        <f t="shared" si="41"/>
        <v>87500</v>
      </c>
      <c r="BD23" s="129">
        <f t="shared" si="36"/>
        <v>12500</v>
      </c>
      <c r="BE23" s="129">
        <f t="shared" si="8"/>
        <v>17500</v>
      </c>
      <c r="BF23" s="158">
        <f t="shared" si="37"/>
        <v>180000</v>
      </c>
      <c r="BG23" s="183">
        <v>12000</v>
      </c>
      <c r="BH23" s="184">
        <v>15</v>
      </c>
      <c r="BI23" s="184">
        <v>15</v>
      </c>
      <c r="BJ23" s="157">
        <f t="shared" si="9"/>
        <v>15</v>
      </c>
      <c r="BK23" s="186">
        <v>0</v>
      </c>
      <c r="BL23" s="186">
        <v>0</v>
      </c>
      <c r="BM23" s="129">
        <f t="shared" si="11"/>
        <v>12500</v>
      </c>
      <c r="BN23" s="129">
        <f t="shared" si="12"/>
        <v>17500</v>
      </c>
      <c r="BO23" s="158">
        <f t="shared" si="39"/>
        <v>30000</v>
      </c>
      <c r="BP23" s="150">
        <f t="shared" si="40"/>
        <v>-150000</v>
      </c>
    </row>
    <row r="24" spans="1:68">
      <c r="A24" s="1">
        <v>2072</v>
      </c>
      <c r="B24" s="61" t="s">
        <v>57</v>
      </c>
      <c r="C24" s="62" t="s">
        <v>33</v>
      </c>
      <c r="D24" s="63" t="s">
        <v>58</v>
      </c>
      <c r="E24" s="64">
        <v>162043</v>
      </c>
      <c r="F24" s="65">
        <v>16</v>
      </c>
      <c r="G24" s="65">
        <v>8</v>
      </c>
      <c r="H24" s="66">
        <f t="shared" si="0"/>
        <v>20255.375</v>
      </c>
      <c r="I24" s="67">
        <f>H24+$G$3</f>
        <v>21755.375</v>
      </c>
      <c r="J24" s="68">
        <f t="shared" si="14"/>
        <v>8</v>
      </c>
      <c r="K24" s="69">
        <f>J24</f>
        <v>8</v>
      </c>
      <c r="L24" s="70">
        <f t="shared" si="15"/>
        <v>33333.333333333336</v>
      </c>
      <c r="M24" s="71">
        <f t="shared" si="16"/>
        <v>46666.666666666672</v>
      </c>
      <c r="N24" s="72">
        <f t="shared" si="3"/>
        <v>11755.375</v>
      </c>
      <c r="O24" s="73">
        <f t="shared" si="17"/>
        <v>39184.583333333336</v>
      </c>
      <c r="P24" s="73">
        <f t="shared" si="18"/>
        <v>54858.416666666672</v>
      </c>
      <c r="Q24" s="74">
        <f t="shared" si="19"/>
        <v>174043</v>
      </c>
      <c r="S24" s="4">
        <f t="shared" si="20"/>
        <v>0</v>
      </c>
      <c r="T24" s="50">
        <f t="shared" si="21"/>
        <v>0</v>
      </c>
      <c r="U24" s="4">
        <f t="shared" si="22"/>
        <v>0</v>
      </c>
      <c r="V24" s="50">
        <f t="shared" si="23"/>
        <v>0</v>
      </c>
      <c r="W24" s="4">
        <f t="shared" si="24"/>
        <v>12000</v>
      </c>
      <c r="Y24" s="51">
        <v>8</v>
      </c>
      <c r="Z24" s="52">
        <v>8</v>
      </c>
      <c r="AA24" s="53">
        <f t="shared" si="25"/>
        <v>33333.333333333336</v>
      </c>
      <c r="AB24" s="53">
        <f t="shared" si="26"/>
        <v>46666.666666666672</v>
      </c>
      <c r="AC24" s="54">
        <f t="shared" si="27"/>
        <v>11755.375</v>
      </c>
      <c r="AD24" s="55">
        <f t="shared" si="28"/>
        <v>39184.583333333336</v>
      </c>
      <c r="AE24" s="55">
        <f t="shared" si="29"/>
        <v>54858.416666666672</v>
      </c>
      <c r="AF24" s="56">
        <f t="shared" si="30"/>
        <v>174043</v>
      </c>
      <c r="AH24" s="6">
        <f t="shared" si="31"/>
        <v>174043</v>
      </c>
      <c r="AI24" s="75">
        <v>338982</v>
      </c>
      <c r="AJ24" s="76">
        <v>0.17100000000000001</v>
      </c>
      <c r="AK24" s="75">
        <v>147594</v>
      </c>
      <c r="AL24" s="77">
        <v>7.1999999999999995E-2</v>
      </c>
      <c r="AM24" s="78">
        <v>460152</v>
      </c>
      <c r="AN24" s="77">
        <v>0.188</v>
      </c>
      <c r="AP24" s="143">
        <f t="shared" si="32"/>
        <v>8</v>
      </c>
      <c r="AQ24" s="152">
        <f t="shared" si="33"/>
        <v>162043</v>
      </c>
      <c r="AR24" s="171">
        <f t="shared" si="34"/>
        <v>8</v>
      </c>
      <c r="AS24" s="172">
        <v>8</v>
      </c>
      <c r="AT24" s="172">
        <v>7.416666666666667</v>
      </c>
      <c r="AU24" s="173">
        <f t="shared" si="4"/>
        <v>174043</v>
      </c>
      <c r="AV24" s="173">
        <v>182176.84895833334</v>
      </c>
      <c r="AW24" s="174">
        <f t="shared" si="5"/>
        <v>8133.848958333343</v>
      </c>
      <c r="AX24" s="156">
        <v>20255</v>
      </c>
      <c r="AY24" s="157">
        <v>8</v>
      </c>
      <c r="AZ24" s="157">
        <v>8</v>
      </c>
      <c r="BA24" s="157">
        <f t="shared" si="6"/>
        <v>8</v>
      </c>
      <c r="BB24" s="129">
        <f t="shared" si="35"/>
        <v>33333.333333333336</v>
      </c>
      <c r="BC24" s="129">
        <f t="shared" si="41"/>
        <v>46666.666666666664</v>
      </c>
      <c r="BD24" s="129">
        <f t="shared" si="36"/>
        <v>34183.333333333336</v>
      </c>
      <c r="BE24" s="129">
        <f t="shared" si="8"/>
        <v>47856.666666666664</v>
      </c>
      <c r="BF24" s="158">
        <f t="shared" si="37"/>
        <v>162040</v>
      </c>
      <c r="BG24" s="183">
        <v>20255</v>
      </c>
      <c r="BH24" s="184">
        <v>8</v>
      </c>
      <c r="BI24" s="184">
        <v>8</v>
      </c>
      <c r="BJ24" s="157">
        <f t="shared" si="9"/>
        <v>8</v>
      </c>
      <c r="BK24" s="129">
        <f t="shared" si="38"/>
        <v>33333.333333333336</v>
      </c>
      <c r="BL24" s="129">
        <f t="shared" si="42"/>
        <v>46666.666666666664</v>
      </c>
      <c r="BM24" s="129">
        <f t="shared" si="11"/>
        <v>34183.333333333336</v>
      </c>
      <c r="BN24" s="129">
        <f t="shared" si="12"/>
        <v>47856.666666666664</v>
      </c>
      <c r="BO24" s="158">
        <f t="shared" si="39"/>
        <v>162040</v>
      </c>
      <c r="BP24" s="150">
        <f t="shared" si="40"/>
        <v>0</v>
      </c>
    </row>
    <row r="25" spans="1:68">
      <c r="A25" s="1">
        <v>2059</v>
      </c>
      <c r="B25" s="61" t="s">
        <v>59</v>
      </c>
      <c r="C25" s="62" t="s">
        <v>33</v>
      </c>
      <c r="D25" s="63" t="s">
        <v>58</v>
      </c>
      <c r="E25" s="64">
        <v>162043</v>
      </c>
      <c r="F25" s="65">
        <v>16</v>
      </c>
      <c r="G25" s="65">
        <v>8</v>
      </c>
      <c r="H25" s="66">
        <f t="shared" si="0"/>
        <v>20255.375</v>
      </c>
      <c r="I25" s="67">
        <f>H25+$G$3</f>
        <v>21755.375</v>
      </c>
      <c r="J25" s="68">
        <f t="shared" si="14"/>
        <v>8</v>
      </c>
      <c r="K25" s="69">
        <f>J25</f>
        <v>8</v>
      </c>
      <c r="L25" s="70">
        <f t="shared" si="15"/>
        <v>33333.333333333336</v>
      </c>
      <c r="M25" s="71">
        <f t="shared" si="16"/>
        <v>46666.666666666672</v>
      </c>
      <c r="N25" s="72">
        <f t="shared" si="3"/>
        <v>11755.375</v>
      </c>
      <c r="O25" s="73">
        <f t="shared" si="17"/>
        <v>39184.583333333336</v>
      </c>
      <c r="P25" s="73">
        <f t="shared" si="18"/>
        <v>54858.416666666672</v>
      </c>
      <c r="Q25" s="74">
        <f t="shared" si="19"/>
        <v>174043</v>
      </c>
      <c r="S25" s="4">
        <f t="shared" si="20"/>
        <v>0</v>
      </c>
      <c r="T25" s="50">
        <f t="shared" si="21"/>
        <v>0</v>
      </c>
      <c r="U25" s="4">
        <f t="shared" si="22"/>
        <v>0</v>
      </c>
      <c r="V25" s="50">
        <f t="shared" si="23"/>
        <v>0</v>
      </c>
      <c r="W25" s="4">
        <f t="shared" si="24"/>
        <v>12000</v>
      </c>
      <c r="Y25" s="51">
        <v>8</v>
      </c>
      <c r="Z25" s="52">
        <v>8</v>
      </c>
      <c r="AA25" s="53">
        <f t="shared" si="25"/>
        <v>33333.333333333336</v>
      </c>
      <c r="AB25" s="53">
        <f t="shared" si="26"/>
        <v>46666.666666666672</v>
      </c>
      <c r="AC25" s="54">
        <f t="shared" si="27"/>
        <v>11755.375</v>
      </c>
      <c r="AD25" s="55">
        <f t="shared" si="28"/>
        <v>39184.583333333336</v>
      </c>
      <c r="AE25" s="55">
        <f t="shared" si="29"/>
        <v>54858.416666666672</v>
      </c>
      <c r="AF25" s="56">
        <f t="shared" si="30"/>
        <v>174043</v>
      </c>
      <c r="AH25" s="6">
        <f t="shared" si="31"/>
        <v>174043</v>
      </c>
      <c r="AI25" s="75">
        <v>35567</v>
      </c>
      <c r="AJ25" s="76">
        <v>1.7000000000000001E-2</v>
      </c>
      <c r="AK25" s="75">
        <v>-1168</v>
      </c>
      <c r="AL25" s="77">
        <v>0</v>
      </c>
      <c r="AM25" s="78">
        <v>177983</v>
      </c>
      <c r="AN25" s="77">
        <v>4.7E-2</v>
      </c>
      <c r="AP25" s="143">
        <f t="shared" si="32"/>
        <v>8</v>
      </c>
      <c r="AQ25" s="152">
        <f t="shared" si="33"/>
        <v>162043</v>
      </c>
      <c r="AR25" s="171">
        <f t="shared" si="34"/>
        <v>8</v>
      </c>
      <c r="AS25" s="172">
        <v>8</v>
      </c>
      <c r="AT25" s="172">
        <v>7.833333333333333</v>
      </c>
      <c r="AU25" s="173">
        <f t="shared" si="4"/>
        <v>174043</v>
      </c>
      <c r="AV25" s="173">
        <v>184938.38541666669</v>
      </c>
      <c r="AW25" s="174">
        <f t="shared" si="5"/>
        <v>10895.385416666686</v>
      </c>
      <c r="AX25" s="156">
        <v>20255</v>
      </c>
      <c r="AY25" s="157">
        <v>8</v>
      </c>
      <c r="AZ25" s="157">
        <v>8</v>
      </c>
      <c r="BA25" s="157">
        <f t="shared" si="6"/>
        <v>8</v>
      </c>
      <c r="BB25" s="129">
        <f t="shared" si="35"/>
        <v>33333.333333333336</v>
      </c>
      <c r="BC25" s="129">
        <f t="shared" si="41"/>
        <v>46666.666666666664</v>
      </c>
      <c r="BD25" s="129">
        <f t="shared" si="36"/>
        <v>34183.333333333336</v>
      </c>
      <c r="BE25" s="129">
        <f t="shared" si="8"/>
        <v>47856.666666666664</v>
      </c>
      <c r="BF25" s="158">
        <f t="shared" si="37"/>
        <v>162040</v>
      </c>
      <c r="BG25" s="183">
        <v>20255</v>
      </c>
      <c r="BH25" s="184">
        <v>8</v>
      </c>
      <c r="BI25" s="184">
        <v>8</v>
      </c>
      <c r="BJ25" s="157">
        <f t="shared" si="9"/>
        <v>8</v>
      </c>
      <c r="BK25" s="129">
        <f t="shared" si="38"/>
        <v>33333.333333333336</v>
      </c>
      <c r="BL25" s="129">
        <f t="shared" si="42"/>
        <v>46666.666666666664</v>
      </c>
      <c r="BM25" s="129">
        <f t="shared" si="11"/>
        <v>34183.333333333336</v>
      </c>
      <c r="BN25" s="129">
        <f t="shared" si="12"/>
        <v>47856.666666666664</v>
      </c>
      <c r="BO25" s="158">
        <f t="shared" si="39"/>
        <v>162040</v>
      </c>
      <c r="BP25" s="150">
        <f t="shared" si="40"/>
        <v>0</v>
      </c>
    </row>
    <row r="26" spans="1:68">
      <c r="A26" s="1">
        <v>2073</v>
      </c>
      <c r="B26" s="61" t="s">
        <v>60</v>
      </c>
      <c r="C26" s="62" t="s">
        <v>33</v>
      </c>
      <c r="D26" s="63" t="s">
        <v>61</v>
      </c>
      <c r="E26" s="64">
        <v>117350.11924499999</v>
      </c>
      <c r="F26" s="65">
        <v>9</v>
      </c>
      <c r="G26" s="65">
        <f>F26</f>
        <v>9</v>
      </c>
      <c r="H26" s="66">
        <f t="shared" si="0"/>
        <v>13038.902138333333</v>
      </c>
      <c r="I26" s="67">
        <f>13000+$G$3</f>
        <v>14500</v>
      </c>
      <c r="J26" s="68">
        <f t="shared" si="14"/>
        <v>9</v>
      </c>
      <c r="K26" s="69">
        <f>J26+3</f>
        <v>12</v>
      </c>
      <c r="L26" s="70">
        <f t="shared" si="15"/>
        <v>37500</v>
      </c>
      <c r="M26" s="71">
        <f t="shared" si="16"/>
        <v>70000</v>
      </c>
      <c r="N26" s="72">
        <f t="shared" si="3"/>
        <v>4500</v>
      </c>
      <c r="O26" s="73">
        <f t="shared" si="17"/>
        <v>16875</v>
      </c>
      <c r="P26" s="73">
        <f t="shared" si="18"/>
        <v>31500</v>
      </c>
      <c r="Q26" s="74">
        <f t="shared" si="19"/>
        <v>155875</v>
      </c>
      <c r="S26" s="4">
        <f t="shared" si="20"/>
        <v>1.75</v>
      </c>
      <c r="T26" s="50">
        <f t="shared" si="21"/>
        <v>17500</v>
      </c>
      <c r="U26" s="4">
        <f t="shared" si="22"/>
        <v>7875</v>
      </c>
      <c r="V26" s="50">
        <f t="shared" si="23"/>
        <v>25375</v>
      </c>
      <c r="W26" s="4">
        <f t="shared" si="24"/>
        <v>13149.880755000006</v>
      </c>
      <c r="Y26" s="51">
        <v>9</v>
      </c>
      <c r="Z26" s="52">
        <v>12</v>
      </c>
      <c r="AA26" s="53">
        <f t="shared" si="25"/>
        <v>37500</v>
      </c>
      <c r="AB26" s="53">
        <f t="shared" si="26"/>
        <v>70000</v>
      </c>
      <c r="AC26" s="54">
        <f t="shared" si="27"/>
        <v>4500</v>
      </c>
      <c r="AD26" s="55">
        <f t="shared" si="28"/>
        <v>16875</v>
      </c>
      <c r="AE26" s="55">
        <f t="shared" si="29"/>
        <v>31500</v>
      </c>
      <c r="AF26" s="56">
        <f t="shared" si="30"/>
        <v>155875</v>
      </c>
      <c r="AH26" s="6">
        <f t="shared" si="31"/>
        <v>130500</v>
      </c>
      <c r="AI26" s="75">
        <v>108063</v>
      </c>
      <c r="AJ26" s="76">
        <v>4.2999999999999997E-2</v>
      </c>
      <c r="AK26" s="75">
        <v>201705</v>
      </c>
      <c r="AL26" s="77">
        <v>7.4999999999999997E-2</v>
      </c>
      <c r="AM26" s="78">
        <v>266931</v>
      </c>
      <c r="AN26" s="77">
        <v>9.4E-2</v>
      </c>
      <c r="AP26" s="143">
        <f t="shared" si="32"/>
        <v>9</v>
      </c>
      <c r="AQ26" s="152">
        <f t="shared" si="33"/>
        <v>117350.11924499999</v>
      </c>
      <c r="AR26" s="171">
        <f t="shared" si="34"/>
        <v>10.75</v>
      </c>
      <c r="AS26" s="172">
        <v>9</v>
      </c>
      <c r="AT26" s="172">
        <v>8</v>
      </c>
      <c r="AU26" s="173">
        <f t="shared" si="4"/>
        <v>155875</v>
      </c>
      <c r="AV26" s="173">
        <v>128250</v>
      </c>
      <c r="AW26" s="174">
        <f t="shared" si="5"/>
        <v>-27625</v>
      </c>
      <c r="AX26" s="156">
        <v>13000</v>
      </c>
      <c r="AY26" s="157">
        <v>9</v>
      </c>
      <c r="AZ26" s="157">
        <v>12</v>
      </c>
      <c r="BA26" s="157">
        <f t="shared" si="6"/>
        <v>10.75</v>
      </c>
      <c r="BB26" s="129">
        <f t="shared" si="35"/>
        <v>37500</v>
      </c>
      <c r="BC26" s="129">
        <f t="shared" si="41"/>
        <v>70000</v>
      </c>
      <c r="BD26" s="129">
        <f t="shared" si="36"/>
        <v>11250</v>
      </c>
      <c r="BE26" s="129">
        <f t="shared" si="8"/>
        <v>21000</v>
      </c>
      <c r="BF26" s="158">
        <f t="shared" si="37"/>
        <v>139750</v>
      </c>
      <c r="BG26" s="183">
        <v>13000</v>
      </c>
      <c r="BH26" s="184">
        <v>12</v>
      </c>
      <c r="BI26" s="184">
        <v>12</v>
      </c>
      <c r="BJ26" s="157">
        <f t="shared" si="9"/>
        <v>12</v>
      </c>
      <c r="BK26" s="129">
        <f t="shared" si="38"/>
        <v>50000</v>
      </c>
      <c r="BL26" s="129">
        <f t="shared" si="42"/>
        <v>70000</v>
      </c>
      <c r="BM26" s="129">
        <f t="shared" si="11"/>
        <v>15000</v>
      </c>
      <c r="BN26" s="129">
        <f t="shared" si="12"/>
        <v>21000</v>
      </c>
      <c r="BO26" s="158">
        <f t="shared" si="39"/>
        <v>156000</v>
      </c>
      <c r="BP26" s="150">
        <f t="shared" si="40"/>
        <v>16250</v>
      </c>
    </row>
    <row r="27" spans="1:68">
      <c r="A27" s="1">
        <v>4023</v>
      </c>
      <c r="B27" s="79" t="s">
        <v>101</v>
      </c>
      <c r="C27" s="80" t="s">
        <v>40</v>
      </c>
      <c r="D27" s="81" t="s">
        <v>61</v>
      </c>
      <c r="E27" s="82">
        <v>268667.09872944443</v>
      </c>
      <c r="F27" s="83">
        <v>18</v>
      </c>
      <c r="G27" s="83">
        <f>F27</f>
        <v>18</v>
      </c>
      <c r="H27" s="84">
        <f t="shared" si="0"/>
        <v>14925.94992941358</v>
      </c>
      <c r="I27" s="85">
        <f>13000+$G$3</f>
        <v>14500</v>
      </c>
      <c r="J27" s="86">
        <f t="shared" si="14"/>
        <v>18</v>
      </c>
      <c r="K27" s="87">
        <f>J27+6</f>
        <v>24</v>
      </c>
      <c r="L27" s="88">
        <f t="shared" si="15"/>
        <v>75000</v>
      </c>
      <c r="M27" s="89">
        <f t="shared" si="16"/>
        <v>140000</v>
      </c>
      <c r="N27" s="90">
        <f t="shared" si="3"/>
        <v>4500</v>
      </c>
      <c r="O27" s="91">
        <f t="shared" si="17"/>
        <v>33750</v>
      </c>
      <c r="P27" s="91">
        <f t="shared" si="18"/>
        <v>63000</v>
      </c>
      <c r="Q27" s="92">
        <f t="shared" si="19"/>
        <v>311750</v>
      </c>
      <c r="S27" s="4">
        <f t="shared" si="20"/>
        <v>3.5</v>
      </c>
      <c r="T27" s="50">
        <f t="shared" si="21"/>
        <v>35000</v>
      </c>
      <c r="U27" s="4">
        <f t="shared" si="22"/>
        <v>15750</v>
      </c>
      <c r="V27" s="50">
        <f t="shared" si="23"/>
        <v>50750</v>
      </c>
      <c r="W27" s="4">
        <f t="shared" si="24"/>
        <v>-7667.0987294444349</v>
      </c>
      <c r="Y27" s="51">
        <v>24</v>
      </c>
      <c r="Z27" s="52">
        <v>30</v>
      </c>
      <c r="AA27" s="53">
        <f t="shared" si="25"/>
        <v>100000</v>
      </c>
      <c r="AB27" s="53">
        <f t="shared" si="26"/>
        <v>175000.00000000003</v>
      </c>
      <c r="AC27" s="54">
        <f t="shared" si="27"/>
        <v>4500</v>
      </c>
      <c r="AD27" s="55">
        <f t="shared" si="28"/>
        <v>45000</v>
      </c>
      <c r="AE27" s="55">
        <f t="shared" si="29"/>
        <v>78750</v>
      </c>
      <c r="AF27" s="56">
        <f t="shared" si="30"/>
        <v>398750</v>
      </c>
      <c r="AH27" s="6">
        <f t="shared" si="31"/>
        <v>261000</v>
      </c>
      <c r="AI27" s="75">
        <v>-169266</v>
      </c>
      <c r="AJ27" s="76">
        <v>-2.1999999999999999E-2</v>
      </c>
      <c r="AK27" s="75">
        <v>20271</v>
      </c>
      <c r="AL27" s="77">
        <v>3.0000000000000001E-3</v>
      </c>
      <c r="AM27" s="78">
        <v>-81104</v>
      </c>
      <c r="AN27" s="77">
        <v>-1.0999999999999999E-2</v>
      </c>
      <c r="AP27" s="143">
        <f t="shared" si="32"/>
        <v>18</v>
      </c>
      <c r="AQ27" s="152">
        <f t="shared" si="33"/>
        <v>268667.09872944443</v>
      </c>
      <c r="AR27" s="171">
        <f t="shared" si="34"/>
        <v>21.5</v>
      </c>
      <c r="AS27" s="172">
        <v>21.5</v>
      </c>
      <c r="AT27" s="172">
        <v>20</v>
      </c>
      <c r="AU27" s="173">
        <f t="shared" si="4"/>
        <v>311750</v>
      </c>
      <c r="AV27" s="173">
        <v>309500</v>
      </c>
      <c r="AW27" s="174">
        <f t="shared" si="5"/>
        <v>-2250</v>
      </c>
      <c r="AX27" s="156">
        <v>13000</v>
      </c>
      <c r="AY27" s="157">
        <v>24</v>
      </c>
      <c r="AZ27" s="157">
        <v>30</v>
      </c>
      <c r="BA27" s="157">
        <f t="shared" si="6"/>
        <v>27.5</v>
      </c>
      <c r="BB27" s="129">
        <f t="shared" si="35"/>
        <v>100000</v>
      </c>
      <c r="BC27" s="129">
        <f t="shared" si="41"/>
        <v>175000</v>
      </c>
      <c r="BD27" s="129">
        <f t="shared" si="36"/>
        <v>30000</v>
      </c>
      <c r="BE27" s="129">
        <f t="shared" si="8"/>
        <v>52500</v>
      </c>
      <c r="BF27" s="158">
        <f t="shared" si="37"/>
        <v>357500</v>
      </c>
      <c r="BG27" s="183">
        <v>13000</v>
      </c>
      <c r="BH27" s="184">
        <v>30</v>
      </c>
      <c r="BI27" s="184">
        <v>30</v>
      </c>
      <c r="BJ27" s="157">
        <f t="shared" si="9"/>
        <v>30</v>
      </c>
      <c r="BK27" s="129">
        <f t="shared" si="38"/>
        <v>125000.00000000001</v>
      </c>
      <c r="BL27" s="129">
        <f t="shared" si="42"/>
        <v>175000</v>
      </c>
      <c r="BM27" s="129">
        <f t="shared" si="11"/>
        <v>37500</v>
      </c>
      <c r="BN27" s="129">
        <f t="shared" si="12"/>
        <v>52500</v>
      </c>
      <c r="BO27" s="158">
        <f t="shared" si="39"/>
        <v>390000</v>
      </c>
      <c r="BP27" s="150">
        <f t="shared" si="40"/>
        <v>32500</v>
      </c>
    </row>
    <row r="28" spans="1:68" hidden="1">
      <c r="A28" s="1">
        <v>1</v>
      </c>
      <c r="B28" s="10" t="s">
        <v>62</v>
      </c>
      <c r="C28" s="11" t="s">
        <v>33</v>
      </c>
      <c r="D28" s="96" t="s">
        <v>63</v>
      </c>
      <c r="E28" s="39"/>
      <c r="F28" s="40"/>
      <c r="G28" s="40"/>
      <c r="H28" s="41"/>
      <c r="I28" s="42">
        <f>12500+$G$3</f>
        <v>14000</v>
      </c>
      <c r="J28" s="43">
        <f t="shared" si="14"/>
        <v>0</v>
      </c>
      <c r="K28" s="44">
        <v>12</v>
      </c>
      <c r="L28" s="45">
        <f t="shared" si="15"/>
        <v>0</v>
      </c>
      <c r="M28" s="46">
        <f>(10000/12*9)*K28</f>
        <v>90000</v>
      </c>
      <c r="N28" s="47">
        <f t="shared" si="3"/>
        <v>4000</v>
      </c>
      <c r="O28" s="48">
        <f t="shared" si="17"/>
        <v>0</v>
      </c>
      <c r="P28" s="48">
        <f t="shared" si="18"/>
        <v>28000</v>
      </c>
      <c r="Q28" s="49">
        <f t="shared" si="19"/>
        <v>118000</v>
      </c>
      <c r="S28" s="4">
        <f t="shared" si="20"/>
        <v>7</v>
      </c>
      <c r="T28" s="50">
        <f t="shared" si="21"/>
        <v>70000</v>
      </c>
      <c r="U28" s="4">
        <f t="shared" si="22"/>
        <v>28000</v>
      </c>
      <c r="V28" s="50">
        <f t="shared" si="23"/>
        <v>98000</v>
      </c>
      <c r="W28" s="4">
        <f t="shared" si="24"/>
        <v>20000</v>
      </c>
      <c r="Y28" s="51"/>
      <c r="Z28" s="52"/>
      <c r="AA28" s="53">
        <f t="shared" si="25"/>
        <v>0</v>
      </c>
      <c r="AB28" s="53">
        <f t="shared" si="26"/>
        <v>0</v>
      </c>
      <c r="AC28" s="54">
        <f t="shared" si="27"/>
        <v>4000</v>
      </c>
      <c r="AD28" s="55">
        <f t="shared" si="28"/>
        <v>0</v>
      </c>
      <c r="AE28" s="55">
        <f t="shared" si="29"/>
        <v>0</v>
      </c>
      <c r="AF28" s="56">
        <f t="shared" si="30"/>
        <v>0</v>
      </c>
      <c r="AH28" s="6">
        <f t="shared" si="31"/>
        <v>0</v>
      </c>
      <c r="AI28" s="75">
        <v>130671</v>
      </c>
      <c r="AJ28" s="76">
        <v>6.2E-2</v>
      </c>
      <c r="AK28" s="75">
        <v>138777</v>
      </c>
      <c r="AL28" s="77">
        <v>5.1999999999999998E-2</v>
      </c>
      <c r="AM28" s="78">
        <v>661081</v>
      </c>
      <c r="AN28" s="77">
        <v>0.191</v>
      </c>
      <c r="AP28" s="143">
        <f t="shared" si="32"/>
        <v>0</v>
      </c>
      <c r="AQ28" s="152">
        <f t="shared" si="33"/>
        <v>0</v>
      </c>
      <c r="AR28" s="171">
        <f t="shared" si="34"/>
        <v>7</v>
      </c>
      <c r="AS28" s="172"/>
      <c r="AT28" s="172"/>
      <c r="AU28" s="173">
        <f t="shared" si="4"/>
        <v>118000</v>
      </c>
      <c r="AV28" s="173">
        <v>0</v>
      </c>
      <c r="AW28" s="174">
        <f t="shared" si="5"/>
        <v>-118000</v>
      </c>
      <c r="AX28" s="156"/>
      <c r="AY28" s="157"/>
      <c r="AZ28" s="157"/>
      <c r="BA28" s="157"/>
      <c r="BB28" s="157"/>
      <c r="BC28" s="157"/>
      <c r="BD28" s="157"/>
      <c r="BE28" s="157"/>
      <c r="BF28" s="160"/>
      <c r="BG28" s="183"/>
      <c r="BH28" s="184"/>
      <c r="BI28" s="184"/>
      <c r="BJ28" s="157"/>
      <c r="BK28" s="157"/>
      <c r="BL28" s="157"/>
      <c r="BM28" s="157"/>
      <c r="BN28" s="157"/>
      <c r="BO28" s="160"/>
      <c r="BP28" s="150">
        <f t="shared" si="40"/>
        <v>0</v>
      </c>
    </row>
    <row r="29" spans="1:68" hidden="1">
      <c r="A29" s="1">
        <v>2</v>
      </c>
      <c r="B29" s="61" t="s">
        <v>64</v>
      </c>
      <c r="C29" s="62" t="s">
        <v>40</v>
      </c>
      <c r="D29" s="95" t="s">
        <v>44</v>
      </c>
      <c r="E29" s="64"/>
      <c r="F29" s="65"/>
      <c r="G29" s="65"/>
      <c r="H29" s="66"/>
      <c r="I29" s="67">
        <f>25000+$G$3</f>
        <v>26500</v>
      </c>
      <c r="J29" s="68">
        <f t="shared" si="14"/>
        <v>0</v>
      </c>
      <c r="K29" s="69">
        <v>0</v>
      </c>
      <c r="L29" s="70">
        <f t="shared" si="15"/>
        <v>0</v>
      </c>
      <c r="M29" s="71">
        <f t="shared" si="16"/>
        <v>0</v>
      </c>
      <c r="N29" s="72">
        <f t="shared" si="3"/>
        <v>16500</v>
      </c>
      <c r="O29" s="73">
        <f t="shared" si="17"/>
        <v>0</v>
      </c>
      <c r="P29" s="73">
        <f t="shared" si="18"/>
        <v>0</v>
      </c>
      <c r="Q29" s="74">
        <f t="shared" si="19"/>
        <v>0</v>
      </c>
      <c r="S29" s="4">
        <f t="shared" si="20"/>
        <v>0</v>
      </c>
      <c r="T29" s="50">
        <f t="shared" si="21"/>
        <v>0</v>
      </c>
      <c r="U29" s="4">
        <f t="shared" si="22"/>
        <v>0</v>
      </c>
      <c r="V29" s="50">
        <f t="shared" si="23"/>
        <v>0</v>
      </c>
      <c r="W29" s="4">
        <f t="shared" si="24"/>
        <v>0</v>
      </c>
      <c r="Y29" s="51"/>
      <c r="Z29" s="52"/>
      <c r="AA29" s="53">
        <f t="shared" si="25"/>
        <v>0</v>
      </c>
      <c r="AB29" s="53">
        <f t="shared" si="26"/>
        <v>0</v>
      </c>
      <c r="AC29" s="54">
        <f t="shared" si="27"/>
        <v>16500</v>
      </c>
      <c r="AD29" s="55">
        <f t="shared" si="28"/>
        <v>0</v>
      </c>
      <c r="AE29" s="55">
        <f t="shared" si="29"/>
        <v>0</v>
      </c>
      <c r="AF29" s="56">
        <f t="shared" si="30"/>
        <v>0</v>
      </c>
      <c r="AH29" s="6">
        <f t="shared" si="31"/>
        <v>0</v>
      </c>
      <c r="AI29" s="97"/>
      <c r="AJ29" s="63"/>
      <c r="AK29" s="97"/>
      <c r="AL29" s="98"/>
      <c r="AM29" s="63"/>
      <c r="AN29" s="98"/>
      <c r="AP29" s="143">
        <f t="shared" si="32"/>
        <v>0</v>
      </c>
      <c r="AQ29" s="152">
        <f t="shared" si="33"/>
        <v>0</v>
      </c>
      <c r="AR29" s="171">
        <f t="shared" si="34"/>
        <v>0</v>
      </c>
      <c r="AS29" s="172"/>
      <c r="AT29" s="172"/>
      <c r="AU29" s="173">
        <f t="shared" si="4"/>
        <v>0</v>
      </c>
      <c r="AV29" s="173">
        <v>0</v>
      </c>
      <c r="AW29" s="174">
        <f t="shared" si="5"/>
        <v>0</v>
      </c>
      <c r="AX29" s="156"/>
      <c r="AY29" s="157"/>
      <c r="AZ29" s="157"/>
      <c r="BA29" s="157"/>
      <c r="BB29" s="157"/>
      <c r="BC29" s="157"/>
      <c r="BD29" s="157"/>
      <c r="BE29" s="157"/>
      <c r="BF29" s="160"/>
      <c r="BG29" s="183"/>
      <c r="BH29" s="184"/>
      <c r="BI29" s="184"/>
      <c r="BJ29" s="157"/>
      <c r="BK29" s="157"/>
      <c r="BL29" s="157"/>
      <c r="BM29" s="157"/>
      <c r="BN29" s="157"/>
      <c r="BO29" s="160"/>
      <c r="BP29" s="150">
        <f t="shared" si="40"/>
        <v>0</v>
      </c>
    </row>
    <row r="30" spans="1:68" hidden="1">
      <c r="A30" s="1">
        <v>3</v>
      </c>
      <c r="B30" s="61" t="s">
        <v>65</v>
      </c>
      <c r="C30" s="62" t="s">
        <v>33</v>
      </c>
      <c r="D30" s="95" t="s">
        <v>34</v>
      </c>
      <c r="E30" s="64"/>
      <c r="F30" s="65"/>
      <c r="G30" s="65"/>
      <c r="H30" s="66"/>
      <c r="I30" s="67">
        <f>22125+$G$3</f>
        <v>23625</v>
      </c>
      <c r="J30" s="68">
        <f t="shared" si="14"/>
        <v>0</v>
      </c>
      <c r="K30" s="69">
        <v>12</v>
      </c>
      <c r="L30" s="70">
        <f t="shared" si="15"/>
        <v>0</v>
      </c>
      <c r="M30" s="71">
        <f>(10000/12*9)*K30</f>
        <v>90000</v>
      </c>
      <c r="N30" s="72">
        <f t="shared" si="3"/>
        <v>13625</v>
      </c>
      <c r="O30" s="73">
        <f t="shared" si="17"/>
        <v>0</v>
      </c>
      <c r="P30" s="73">
        <f t="shared" si="18"/>
        <v>95375</v>
      </c>
      <c r="Q30" s="74">
        <f t="shared" si="19"/>
        <v>185375</v>
      </c>
      <c r="S30" s="4">
        <f t="shared" si="20"/>
        <v>7</v>
      </c>
      <c r="T30" s="50">
        <f t="shared" si="21"/>
        <v>70000</v>
      </c>
      <c r="U30" s="4">
        <f t="shared" si="22"/>
        <v>95375</v>
      </c>
      <c r="V30" s="50">
        <f t="shared" si="23"/>
        <v>165375</v>
      </c>
      <c r="W30" s="4">
        <f t="shared" si="24"/>
        <v>20000</v>
      </c>
      <c r="Y30" s="51"/>
      <c r="Z30" s="52"/>
      <c r="AA30" s="53">
        <f t="shared" si="25"/>
        <v>0</v>
      </c>
      <c r="AB30" s="53">
        <f t="shared" si="26"/>
        <v>0</v>
      </c>
      <c r="AC30" s="54">
        <f t="shared" si="27"/>
        <v>13625</v>
      </c>
      <c r="AD30" s="55">
        <f t="shared" si="28"/>
        <v>0</v>
      </c>
      <c r="AE30" s="55">
        <f t="shared" si="29"/>
        <v>0</v>
      </c>
      <c r="AF30" s="56">
        <f t="shared" si="30"/>
        <v>0</v>
      </c>
      <c r="AH30" s="6">
        <f t="shared" si="31"/>
        <v>0</v>
      </c>
      <c r="AI30" s="97"/>
      <c r="AJ30" s="63"/>
      <c r="AK30" s="97"/>
      <c r="AL30" s="98"/>
      <c r="AM30" s="63"/>
      <c r="AN30" s="98"/>
      <c r="AP30" s="143">
        <f t="shared" si="32"/>
        <v>0</v>
      </c>
      <c r="AQ30" s="152">
        <f t="shared" si="33"/>
        <v>0</v>
      </c>
      <c r="AR30" s="171">
        <f t="shared" si="34"/>
        <v>7</v>
      </c>
      <c r="AS30" s="172"/>
      <c r="AT30" s="172"/>
      <c r="AU30" s="173">
        <f t="shared" si="4"/>
        <v>185375</v>
      </c>
      <c r="AV30" s="173">
        <v>0</v>
      </c>
      <c r="AW30" s="174">
        <f t="shared" si="5"/>
        <v>-185375</v>
      </c>
      <c r="AX30" s="156"/>
      <c r="AY30" s="157"/>
      <c r="AZ30" s="157"/>
      <c r="BA30" s="157"/>
      <c r="BB30" s="157"/>
      <c r="BC30" s="157"/>
      <c r="BD30" s="157"/>
      <c r="BE30" s="157"/>
      <c r="BF30" s="160"/>
      <c r="BG30" s="183"/>
      <c r="BH30" s="184"/>
      <c r="BI30" s="184"/>
      <c r="BJ30" s="157"/>
      <c r="BK30" s="157"/>
      <c r="BL30" s="157"/>
      <c r="BM30" s="157"/>
      <c r="BN30" s="157"/>
      <c r="BO30" s="160"/>
      <c r="BP30" s="150">
        <f t="shared" si="40"/>
        <v>0</v>
      </c>
    </row>
    <row r="31" spans="1:68" hidden="1">
      <c r="A31" s="1">
        <v>4</v>
      </c>
      <c r="B31" s="61" t="s">
        <v>66</v>
      </c>
      <c r="C31" s="62" t="s">
        <v>40</v>
      </c>
      <c r="D31" s="95" t="s">
        <v>41</v>
      </c>
      <c r="E31" s="64"/>
      <c r="F31" s="65"/>
      <c r="G31" s="65"/>
      <c r="H31" s="66"/>
      <c r="I31" s="67">
        <f>22125+$G$3</f>
        <v>23625</v>
      </c>
      <c r="J31" s="68">
        <f t="shared" si="14"/>
        <v>0</v>
      </c>
      <c r="K31" s="69"/>
      <c r="L31" s="70">
        <f t="shared" si="15"/>
        <v>0</v>
      </c>
      <c r="M31" s="71">
        <f t="shared" si="16"/>
        <v>0</v>
      </c>
      <c r="N31" s="72">
        <f t="shared" si="3"/>
        <v>13625</v>
      </c>
      <c r="O31" s="73">
        <f t="shared" si="17"/>
        <v>0</v>
      </c>
      <c r="P31" s="73">
        <f t="shared" si="18"/>
        <v>0</v>
      </c>
      <c r="Q31" s="74">
        <f t="shared" si="19"/>
        <v>0</v>
      </c>
      <c r="S31" s="4">
        <f t="shared" si="20"/>
        <v>0</v>
      </c>
      <c r="T31" s="50">
        <f t="shared" si="21"/>
        <v>0</v>
      </c>
      <c r="U31" s="4">
        <f t="shared" si="22"/>
        <v>0</v>
      </c>
      <c r="V31" s="50">
        <f t="shared" si="23"/>
        <v>0</v>
      </c>
      <c r="W31" s="4">
        <f t="shared" si="24"/>
        <v>0</v>
      </c>
      <c r="Y31" s="51"/>
      <c r="Z31" s="52"/>
      <c r="AA31" s="53">
        <f t="shared" si="25"/>
        <v>0</v>
      </c>
      <c r="AB31" s="53">
        <f t="shared" si="26"/>
        <v>0</v>
      </c>
      <c r="AC31" s="54">
        <f t="shared" si="27"/>
        <v>13625</v>
      </c>
      <c r="AD31" s="55">
        <f t="shared" si="28"/>
        <v>0</v>
      </c>
      <c r="AE31" s="55">
        <f t="shared" si="29"/>
        <v>0</v>
      </c>
      <c r="AF31" s="56">
        <f t="shared" si="30"/>
        <v>0</v>
      </c>
      <c r="AH31" s="6">
        <f t="shared" si="31"/>
        <v>0</v>
      </c>
      <c r="AI31" s="97"/>
      <c r="AJ31" s="63"/>
      <c r="AK31" s="97"/>
      <c r="AL31" s="98"/>
      <c r="AM31" s="63"/>
      <c r="AN31" s="98"/>
      <c r="AP31" s="143">
        <f t="shared" si="32"/>
        <v>0</v>
      </c>
      <c r="AQ31" s="152">
        <f t="shared" si="33"/>
        <v>0</v>
      </c>
      <c r="AR31" s="171">
        <f t="shared" si="34"/>
        <v>0</v>
      </c>
      <c r="AS31" s="172"/>
      <c r="AT31" s="172"/>
      <c r="AU31" s="173">
        <f t="shared" si="4"/>
        <v>0</v>
      </c>
      <c r="AV31" s="173">
        <v>0</v>
      </c>
      <c r="AW31" s="174">
        <f t="shared" si="5"/>
        <v>0</v>
      </c>
      <c r="AX31" s="156"/>
      <c r="AY31" s="157"/>
      <c r="AZ31" s="157"/>
      <c r="BA31" s="157"/>
      <c r="BB31" s="157"/>
      <c r="BC31" s="157"/>
      <c r="BD31" s="157"/>
      <c r="BE31" s="157"/>
      <c r="BF31" s="160"/>
      <c r="BG31" s="183"/>
      <c r="BH31" s="184"/>
      <c r="BI31" s="184"/>
      <c r="BJ31" s="157"/>
      <c r="BK31" s="157"/>
      <c r="BL31" s="157"/>
      <c r="BM31" s="157"/>
      <c r="BN31" s="157"/>
      <c r="BO31" s="160"/>
      <c r="BP31" s="150">
        <f t="shared" si="40"/>
        <v>0</v>
      </c>
    </row>
    <row r="32" spans="1:68" hidden="1">
      <c r="A32" s="1">
        <v>5</v>
      </c>
      <c r="B32" s="61" t="s">
        <v>67</v>
      </c>
      <c r="C32" s="62" t="s">
        <v>33</v>
      </c>
      <c r="D32" s="95" t="s">
        <v>61</v>
      </c>
      <c r="E32" s="64"/>
      <c r="F32" s="65"/>
      <c r="G32" s="65"/>
      <c r="H32" s="66"/>
      <c r="I32" s="67">
        <f>13000+$G$3</f>
        <v>14500</v>
      </c>
      <c r="J32" s="68">
        <f t="shared" si="14"/>
        <v>0</v>
      </c>
      <c r="K32" s="69"/>
      <c r="L32" s="70">
        <f t="shared" si="15"/>
        <v>0</v>
      </c>
      <c r="M32" s="71">
        <f t="shared" si="16"/>
        <v>0</v>
      </c>
      <c r="N32" s="72">
        <f t="shared" si="3"/>
        <v>4500</v>
      </c>
      <c r="O32" s="73">
        <f t="shared" si="17"/>
        <v>0</v>
      </c>
      <c r="P32" s="73">
        <f t="shared" si="18"/>
        <v>0</v>
      </c>
      <c r="Q32" s="74">
        <f t="shared" si="19"/>
        <v>0</v>
      </c>
      <c r="S32" s="4">
        <f t="shared" si="20"/>
        <v>0</v>
      </c>
      <c r="T32" s="50">
        <f t="shared" si="21"/>
        <v>0</v>
      </c>
      <c r="U32" s="4">
        <f t="shared" si="22"/>
        <v>0</v>
      </c>
      <c r="V32" s="50">
        <f t="shared" si="23"/>
        <v>0</v>
      </c>
      <c r="W32" s="4">
        <f t="shared" si="24"/>
        <v>0</v>
      </c>
      <c r="Y32" s="51"/>
      <c r="Z32" s="52"/>
      <c r="AA32" s="53">
        <f t="shared" si="25"/>
        <v>0</v>
      </c>
      <c r="AB32" s="53">
        <f t="shared" si="26"/>
        <v>0</v>
      </c>
      <c r="AC32" s="54">
        <f t="shared" si="27"/>
        <v>4500</v>
      </c>
      <c r="AD32" s="55">
        <f t="shared" si="28"/>
        <v>0</v>
      </c>
      <c r="AE32" s="55">
        <f t="shared" si="29"/>
        <v>0</v>
      </c>
      <c r="AF32" s="56">
        <f t="shared" si="30"/>
        <v>0</v>
      </c>
      <c r="AH32" s="6">
        <f t="shared" si="31"/>
        <v>0</v>
      </c>
      <c r="AI32" s="97"/>
      <c r="AJ32" s="63"/>
      <c r="AK32" s="97"/>
      <c r="AL32" s="98"/>
      <c r="AM32" s="63"/>
      <c r="AN32" s="98"/>
      <c r="AP32" s="143">
        <f t="shared" si="32"/>
        <v>0</v>
      </c>
      <c r="AQ32" s="152">
        <f t="shared" si="33"/>
        <v>0</v>
      </c>
      <c r="AR32" s="171">
        <f t="shared" si="34"/>
        <v>0</v>
      </c>
      <c r="AS32" s="172"/>
      <c r="AT32" s="172"/>
      <c r="AU32" s="173">
        <f t="shared" si="4"/>
        <v>0</v>
      </c>
      <c r="AV32" s="173">
        <v>0</v>
      </c>
      <c r="AW32" s="174">
        <f t="shared" si="5"/>
        <v>0</v>
      </c>
      <c r="AX32" s="156"/>
      <c r="AY32" s="157"/>
      <c r="AZ32" s="157"/>
      <c r="BA32" s="157"/>
      <c r="BB32" s="157"/>
      <c r="BC32" s="157"/>
      <c r="BD32" s="157"/>
      <c r="BE32" s="157"/>
      <c r="BF32" s="160"/>
      <c r="BG32" s="183"/>
      <c r="BH32" s="184"/>
      <c r="BI32" s="184"/>
      <c r="BJ32" s="157"/>
      <c r="BK32" s="157"/>
      <c r="BL32" s="157"/>
      <c r="BM32" s="157"/>
      <c r="BN32" s="157"/>
      <c r="BO32" s="160"/>
      <c r="BP32" s="150">
        <f t="shared" si="40"/>
        <v>0</v>
      </c>
    </row>
    <row r="33" spans="1:68" hidden="1">
      <c r="A33" s="1">
        <v>6</v>
      </c>
      <c r="B33" s="61" t="s">
        <v>68</v>
      </c>
      <c r="C33" s="62" t="s">
        <v>33</v>
      </c>
      <c r="D33" s="95" t="s">
        <v>69</v>
      </c>
      <c r="E33" s="64"/>
      <c r="F33" s="65"/>
      <c r="G33" s="65"/>
      <c r="H33" s="66"/>
      <c r="I33" s="67">
        <f>25000+$G$3</f>
        <v>26500</v>
      </c>
      <c r="J33" s="68">
        <f t="shared" si="14"/>
        <v>0</v>
      </c>
      <c r="K33" s="69">
        <v>12</v>
      </c>
      <c r="L33" s="70">
        <f t="shared" si="15"/>
        <v>0</v>
      </c>
      <c r="M33" s="71">
        <f>(10000/12*9)*K33</f>
        <v>90000</v>
      </c>
      <c r="N33" s="72">
        <f t="shared" si="3"/>
        <v>16500</v>
      </c>
      <c r="O33" s="73">
        <f t="shared" si="17"/>
        <v>0</v>
      </c>
      <c r="P33" s="73">
        <f t="shared" si="18"/>
        <v>115500</v>
      </c>
      <c r="Q33" s="74">
        <f t="shared" si="19"/>
        <v>205500</v>
      </c>
      <c r="S33" s="4">
        <f t="shared" si="20"/>
        <v>7</v>
      </c>
      <c r="T33" s="50">
        <f t="shared" si="21"/>
        <v>70000</v>
      </c>
      <c r="U33" s="4">
        <f t="shared" si="22"/>
        <v>115500</v>
      </c>
      <c r="V33" s="50">
        <f t="shared" si="23"/>
        <v>185500</v>
      </c>
      <c r="W33" s="4">
        <f t="shared" si="24"/>
        <v>20000</v>
      </c>
      <c r="Y33" s="51"/>
      <c r="Z33" s="52"/>
      <c r="AA33" s="53">
        <f t="shared" si="25"/>
        <v>0</v>
      </c>
      <c r="AB33" s="53">
        <f t="shared" si="26"/>
        <v>0</v>
      </c>
      <c r="AC33" s="54">
        <f t="shared" si="27"/>
        <v>16500</v>
      </c>
      <c r="AD33" s="55">
        <f t="shared" si="28"/>
        <v>0</v>
      </c>
      <c r="AE33" s="55">
        <f t="shared" si="29"/>
        <v>0</v>
      </c>
      <c r="AF33" s="56">
        <f t="shared" si="30"/>
        <v>0</v>
      </c>
      <c r="AH33" s="6">
        <f t="shared" si="31"/>
        <v>0</v>
      </c>
      <c r="AI33" s="99">
        <v>183728</v>
      </c>
      <c r="AJ33" s="63">
        <v>0.11899999999999999</v>
      </c>
      <c r="AK33" s="99">
        <v>26349</v>
      </c>
      <c r="AL33" s="98">
        <v>1.7000000000000001E-2</v>
      </c>
      <c r="AM33" s="100">
        <v>80319</v>
      </c>
      <c r="AN33" s="98">
        <v>4.7E-2</v>
      </c>
      <c r="AP33" s="143">
        <f t="shared" si="32"/>
        <v>0</v>
      </c>
      <c r="AQ33" s="152">
        <f t="shared" si="33"/>
        <v>0</v>
      </c>
      <c r="AR33" s="171">
        <f t="shared" si="34"/>
        <v>7</v>
      </c>
      <c r="AS33" s="172"/>
      <c r="AT33" s="172"/>
      <c r="AU33" s="173">
        <f t="shared" si="4"/>
        <v>205500</v>
      </c>
      <c r="AV33" s="173">
        <v>0</v>
      </c>
      <c r="AW33" s="174">
        <f t="shared" si="5"/>
        <v>-205500</v>
      </c>
      <c r="AX33" s="156"/>
      <c r="AY33" s="157"/>
      <c r="AZ33" s="157"/>
      <c r="BA33" s="157"/>
      <c r="BB33" s="157"/>
      <c r="BC33" s="157"/>
      <c r="BD33" s="157"/>
      <c r="BE33" s="157"/>
      <c r="BF33" s="160"/>
      <c r="BG33" s="183"/>
      <c r="BH33" s="184"/>
      <c r="BI33" s="184"/>
      <c r="BJ33" s="157"/>
      <c r="BK33" s="157"/>
      <c r="BL33" s="157"/>
      <c r="BM33" s="157"/>
      <c r="BN33" s="157"/>
      <c r="BO33" s="160"/>
      <c r="BP33" s="150">
        <f t="shared" si="40"/>
        <v>0</v>
      </c>
    </row>
    <row r="34" spans="1:68" hidden="1">
      <c r="B34" s="61" t="s">
        <v>70</v>
      </c>
      <c r="C34" s="62" t="s">
        <v>33</v>
      </c>
      <c r="D34" s="95" t="s">
        <v>47</v>
      </c>
      <c r="E34" s="64"/>
      <c r="F34" s="65"/>
      <c r="G34" s="65"/>
      <c r="H34" s="66"/>
      <c r="I34" s="67">
        <f>20000+$G$3</f>
        <v>21500</v>
      </c>
      <c r="J34" s="68"/>
      <c r="K34" s="69"/>
      <c r="L34" s="70">
        <f>(10000/12*5)*J34</f>
        <v>0</v>
      </c>
      <c r="M34" s="71">
        <f>(10000/12*7)*K34</f>
        <v>0</v>
      </c>
      <c r="N34" s="72">
        <f t="shared" si="3"/>
        <v>11500</v>
      </c>
      <c r="O34" s="73">
        <f>N34*5/12*J34</f>
        <v>0</v>
      </c>
      <c r="P34" s="73">
        <f>7/12*N34*K34</f>
        <v>0</v>
      </c>
      <c r="Q34" s="74">
        <f>L34+M34+O34+P34</f>
        <v>0</v>
      </c>
      <c r="T34" s="50"/>
      <c r="U34" s="4"/>
      <c r="V34" s="50"/>
      <c r="Y34" s="51"/>
      <c r="Z34" s="52"/>
      <c r="AA34" s="53">
        <f>(10000/12*5)*Y34</f>
        <v>0</v>
      </c>
      <c r="AB34" s="53">
        <f>(10000/12*7)*Z34</f>
        <v>0</v>
      </c>
      <c r="AC34" s="54">
        <f t="shared" si="27"/>
        <v>11500</v>
      </c>
      <c r="AD34" s="55">
        <f>AC34*5/12*Y34</f>
        <v>0</v>
      </c>
      <c r="AE34" s="55">
        <f>7/12*AC34*Z34</f>
        <v>0</v>
      </c>
      <c r="AF34" s="56">
        <f>AA34+AB34+AD34+AE34</f>
        <v>0</v>
      </c>
      <c r="AH34" s="6">
        <f t="shared" si="31"/>
        <v>0</v>
      </c>
      <c r="AI34" s="97"/>
      <c r="AJ34" s="63"/>
      <c r="AK34" s="97"/>
      <c r="AL34" s="98"/>
      <c r="AM34" s="63"/>
      <c r="AN34" s="98"/>
      <c r="AP34" s="144"/>
      <c r="AQ34" s="144"/>
      <c r="AR34" s="175"/>
      <c r="AS34" s="176"/>
      <c r="AT34" s="176"/>
      <c r="AU34" s="176"/>
      <c r="AV34" s="173">
        <v>0</v>
      </c>
      <c r="AW34" s="174">
        <f t="shared" si="5"/>
        <v>0</v>
      </c>
      <c r="AX34" s="161"/>
      <c r="AY34" s="63"/>
      <c r="AZ34" s="63"/>
      <c r="BA34" s="63"/>
      <c r="BB34" s="63"/>
      <c r="BC34" s="63"/>
      <c r="BD34" s="63"/>
      <c r="BE34" s="63"/>
      <c r="BF34" s="162"/>
      <c r="BG34" s="161"/>
      <c r="BH34" s="63"/>
      <c r="BI34" s="63"/>
      <c r="BJ34" s="63"/>
      <c r="BK34" s="63"/>
      <c r="BL34" s="63"/>
      <c r="BM34" s="63"/>
      <c r="BN34" s="63"/>
      <c r="BO34" s="162"/>
      <c r="BP34" s="150">
        <f t="shared" si="40"/>
        <v>0</v>
      </c>
    </row>
    <row r="35" spans="1:68" hidden="1">
      <c r="B35" s="79" t="s">
        <v>71</v>
      </c>
      <c r="C35" s="80" t="s">
        <v>50</v>
      </c>
      <c r="D35" s="101" t="s">
        <v>72</v>
      </c>
      <c r="E35" s="82"/>
      <c r="F35" s="83"/>
      <c r="G35" s="83"/>
      <c r="H35" s="84"/>
      <c r="I35" s="102">
        <f>25000</f>
        <v>25000</v>
      </c>
      <c r="J35" s="86"/>
      <c r="K35" s="87">
        <v>35</v>
      </c>
      <c r="L35" s="88">
        <f>(10000/12*5)*J35</f>
        <v>0</v>
      </c>
      <c r="M35" s="89">
        <f>(10000/12*9)*K35</f>
        <v>262500</v>
      </c>
      <c r="N35" s="90">
        <f t="shared" si="3"/>
        <v>15000</v>
      </c>
      <c r="O35" s="91">
        <f>N35*5/12*J35</f>
        <v>0</v>
      </c>
      <c r="P35" s="91">
        <f>7/12*N35*K35</f>
        <v>306250</v>
      </c>
      <c r="Q35" s="92">
        <f>L35+M35+O35+P35</f>
        <v>568750</v>
      </c>
      <c r="T35" s="50"/>
      <c r="U35" s="4"/>
      <c r="V35" s="50"/>
      <c r="Y35" s="51"/>
      <c r="Z35" s="52"/>
      <c r="AA35" s="53">
        <f>(10000/12*5)*Y35</f>
        <v>0</v>
      </c>
      <c r="AB35" s="53">
        <f>(10000/12*7)*Z35</f>
        <v>0</v>
      </c>
      <c r="AC35" s="54">
        <f t="shared" si="27"/>
        <v>15000</v>
      </c>
      <c r="AD35" s="55">
        <f>AC35*5/12*Y35</f>
        <v>0</v>
      </c>
      <c r="AE35" s="55">
        <f>7/12*AC35*Z35</f>
        <v>0</v>
      </c>
      <c r="AF35" s="56">
        <f>AA35+AB35+AD35+AE35</f>
        <v>0</v>
      </c>
      <c r="AI35" s="97"/>
      <c r="AJ35" s="63"/>
      <c r="AK35" s="97"/>
      <c r="AL35" s="98"/>
      <c r="AM35" s="63"/>
      <c r="AN35" s="98"/>
      <c r="AP35" s="144"/>
      <c r="AQ35" s="144"/>
      <c r="AR35" s="175"/>
      <c r="AS35" s="176"/>
      <c r="AT35" s="176"/>
      <c r="AU35" s="176"/>
      <c r="AV35" s="177"/>
      <c r="AW35" s="178"/>
      <c r="AX35" s="161"/>
      <c r="AY35" s="63"/>
      <c r="AZ35" s="63"/>
      <c r="BA35" s="63"/>
      <c r="BB35" s="63"/>
      <c r="BC35" s="63"/>
      <c r="BD35" s="63"/>
      <c r="BE35" s="63"/>
      <c r="BF35" s="162"/>
      <c r="BG35" s="161"/>
      <c r="BH35" s="63"/>
      <c r="BI35" s="63"/>
      <c r="BJ35" s="63"/>
      <c r="BK35" s="63"/>
      <c r="BL35" s="63"/>
      <c r="BM35" s="63"/>
      <c r="BN35" s="63"/>
      <c r="BO35" s="162"/>
      <c r="BP35" s="150">
        <f t="shared" si="40"/>
        <v>0</v>
      </c>
    </row>
    <row r="36" spans="1:68" ht="16" thickBot="1">
      <c r="E36" s="103"/>
      <c r="F36" s="65"/>
      <c r="G36" s="65"/>
      <c r="H36" s="66"/>
      <c r="I36" s="67"/>
      <c r="J36" s="68"/>
      <c r="K36" s="69"/>
      <c r="L36" s="70"/>
      <c r="M36" s="71"/>
      <c r="N36" s="104"/>
      <c r="O36" s="105"/>
      <c r="P36" s="105"/>
      <c r="Q36" s="74"/>
      <c r="Y36" s="51"/>
      <c r="Z36" s="52"/>
      <c r="AA36" s="53"/>
      <c r="AB36" s="53"/>
      <c r="AC36" s="106"/>
      <c r="AD36" s="52"/>
      <c r="AE36" s="52"/>
      <c r="AF36" s="56"/>
      <c r="AI36" s="97"/>
      <c r="AJ36" s="63"/>
      <c r="AK36" s="97"/>
      <c r="AL36" s="98"/>
      <c r="AM36" s="63"/>
      <c r="AN36" s="98"/>
      <c r="AP36" s="145">
        <f t="shared" ref="AP36:AX36" si="43">SUM(AP5:AP35)</f>
        <v>252</v>
      </c>
      <c r="AQ36" s="145">
        <f t="shared" si="43"/>
        <v>5032629.7486224454</v>
      </c>
      <c r="AR36" s="179">
        <f t="shared" si="43"/>
        <v>281.16666666666669</v>
      </c>
      <c r="AS36" s="146">
        <f t="shared" si="43"/>
        <v>260.75</v>
      </c>
      <c r="AT36" s="146">
        <f t="shared" si="43"/>
        <v>221.0333333333333</v>
      </c>
      <c r="AU36" s="146">
        <f>SUM(AU5:AU35)</f>
        <v>5851627.666666667</v>
      </c>
      <c r="AV36" s="146">
        <f t="shared" si="43"/>
        <v>5296104.817708334</v>
      </c>
      <c r="AW36" s="180">
        <f t="shared" si="43"/>
        <v>-555522.84895833337</v>
      </c>
      <c r="AX36" s="163">
        <f t="shared" si="43"/>
        <v>480760</v>
      </c>
      <c r="AY36" s="147">
        <f t="shared" ref="AY36:BP36" si="44">SUM(AY5:AY35)</f>
        <v>270</v>
      </c>
      <c r="AZ36" s="147">
        <f t="shared" si="44"/>
        <v>317</v>
      </c>
      <c r="BA36" s="147">
        <f t="shared" si="44"/>
        <v>297.41666666666663</v>
      </c>
      <c r="BB36" s="147">
        <f t="shared" si="44"/>
        <v>1125000</v>
      </c>
      <c r="BC36" s="147">
        <f t="shared" si="44"/>
        <v>1889166.6666666667</v>
      </c>
      <c r="BD36" s="147">
        <f t="shared" si="44"/>
        <v>1069720.8333333335</v>
      </c>
      <c r="BE36" s="147">
        <f t="shared" si="44"/>
        <v>1784463.3333333333</v>
      </c>
      <c r="BF36" s="164">
        <f t="shared" si="44"/>
        <v>5868350.833333334</v>
      </c>
      <c r="BG36" s="163">
        <f t="shared" si="44"/>
        <v>480760</v>
      </c>
      <c r="BH36" s="147">
        <f t="shared" si="44"/>
        <v>317</v>
      </c>
      <c r="BI36" s="147">
        <f t="shared" si="44"/>
        <v>320</v>
      </c>
      <c r="BJ36" s="147">
        <f t="shared" si="44"/>
        <v>318.75</v>
      </c>
      <c r="BK36" s="147">
        <f t="shared" si="44"/>
        <v>1208333.3333333335</v>
      </c>
      <c r="BL36" s="147">
        <f t="shared" si="44"/>
        <v>1709166.6666666667</v>
      </c>
      <c r="BM36" s="147">
        <f t="shared" si="44"/>
        <v>1274616.6666666667</v>
      </c>
      <c r="BN36" s="147">
        <f t="shared" si="44"/>
        <v>1801963.3333333333</v>
      </c>
      <c r="BO36" s="164">
        <f t="shared" si="44"/>
        <v>5994080</v>
      </c>
      <c r="BP36" s="151">
        <f t="shared" si="44"/>
        <v>125729.16666666663</v>
      </c>
    </row>
    <row r="37" spans="1:68" ht="17" thickTop="1" thickBot="1">
      <c r="E37" s="107">
        <f>SUM(E5:E36)</f>
        <v>5032629.7486224454</v>
      </c>
      <c r="F37" s="108">
        <f>SUM(F5:F36)</f>
        <v>270</v>
      </c>
      <c r="G37" s="108">
        <f>SUM(G5:G36)</f>
        <v>252</v>
      </c>
      <c r="H37" s="109"/>
      <c r="I37" s="109"/>
      <c r="J37" s="110">
        <f>SUM(J5:J36)</f>
        <v>252</v>
      </c>
      <c r="K37" s="111">
        <f>SUM(K5:K36)</f>
        <v>337</v>
      </c>
      <c r="L37" s="112">
        <f>SUM(L5:L36)</f>
        <v>1050000</v>
      </c>
      <c r="M37" s="113">
        <f>SUM(M5:M36)</f>
        <v>2084166.666666667</v>
      </c>
      <c r="N37" s="114"/>
      <c r="O37" s="115">
        <f>SUM(O5:O36)</f>
        <v>1074671.25</v>
      </c>
      <c r="P37" s="115">
        <f>SUM(P5:P36)</f>
        <v>2211539.75</v>
      </c>
      <c r="Q37" s="114">
        <f>SUM(Q5:Q36)</f>
        <v>6420377.666666667</v>
      </c>
      <c r="S37" s="116">
        <f>SUM(S5:S36)</f>
        <v>29.166666666666664</v>
      </c>
      <c r="T37" s="116">
        <f>SUM(T5:T36)</f>
        <v>291666.66666666663</v>
      </c>
      <c r="U37" s="116">
        <f>SUM(U5:U36)</f>
        <v>400750.00000000006</v>
      </c>
      <c r="V37" s="117">
        <f>SUM(V5:V36)</f>
        <v>692416.66666666674</v>
      </c>
      <c r="W37" s="116">
        <f>SUM(W5:W36)</f>
        <v>126581.25137755566</v>
      </c>
      <c r="Y37" s="118">
        <f>SUM(Y5:Y36)</f>
        <v>270</v>
      </c>
      <c r="Z37" s="118">
        <f>SUM(Z5:Z36)</f>
        <v>311</v>
      </c>
      <c r="AA37" s="119">
        <f>SUM(AA5:AA36)</f>
        <v>1100000</v>
      </c>
      <c r="AB37" s="119">
        <f>SUM(AB5:AB36)</f>
        <v>1744166.666666667</v>
      </c>
      <c r="AC37" s="119"/>
      <c r="AD37" s="119">
        <f>SUM(AD5:AD36)</f>
        <v>1207223.333333333</v>
      </c>
      <c r="AE37" s="119">
        <f>SUM(AE5:AE36)</f>
        <v>1932341.8333333335</v>
      </c>
      <c r="AF37" s="119">
        <f>SUM(AF5:AF36)</f>
        <v>5983731.833333333</v>
      </c>
      <c r="AH37" s="6">
        <f>SUM(AH5:AH36)</f>
        <v>5099211</v>
      </c>
      <c r="AI37" s="120"/>
      <c r="AJ37" s="81"/>
      <c r="AK37" s="120"/>
      <c r="AL37" s="121"/>
      <c r="AM37" s="81"/>
      <c r="AN37" s="121"/>
      <c r="AR37" s="165"/>
      <c r="AS37" s="166"/>
      <c r="AT37" s="166"/>
      <c r="AU37" s="166"/>
      <c r="AV37" s="166"/>
      <c r="AW37" s="167"/>
      <c r="AX37" s="165"/>
      <c r="AY37" s="166"/>
      <c r="AZ37" s="166"/>
      <c r="BA37" s="166"/>
      <c r="BB37" s="166"/>
      <c r="BC37" s="166"/>
      <c r="BD37" s="166"/>
      <c r="BE37" s="166"/>
      <c r="BF37" s="167"/>
      <c r="BG37" s="165"/>
      <c r="BH37" s="166"/>
      <c r="BI37" s="166"/>
      <c r="BJ37" s="166"/>
      <c r="BK37" s="166"/>
      <c r="BL37" s="166"/>
      <c r="BM37" s="166"/>
      <c r="BN37" s="166"/>
      <c r="BO37" s="167"/>
    </row>
    <row r="38" spans="1:68" hidden="1">
      <c r="D38" t="s">
        <v>73</v>
      </c>
      <c r="E38" s="50">
        <f>E37-E35</f>
        <v>5032629.7486224454</v>
      </c>
      <c r="F38" s="50">
        <f t="shared" ref="F38:AF38" si="45">F37-F35</f>
        <v>270</v>
      </c>
      <c r="G38" s="50">
        <f t="shared" si="45"/>
        <v>252</v>
      </c>
      <c r="H38" s="50">
        <f t="shared" si="45"/>
        <v>0</v>
      </c>
      <c r="I38" s="50">
        <f t="shared" si="45"/>
        <v>-25000</v>
      </c>
      <c r="J38" s="50">
        <f t="shared" si="45"/>
        <v>252</v>
      </c>
      <c r="K38" s="50">
        <f t="shared" si="45"/>
        <v>302</v>
      </c>
      <c r="L38" s="50">
        <f t="shared" si="45"/>
        <v>1050000</v>
      </c>
      <c r="M38" s="50">
        <f t="shared" si="45"/>
        <v>1821666.666666667</v>
      </c>
      <c r="N38" s="50"/>
      <c r="O38" s="50">
        <f t="shared" si="45"/>
        <v>1074671.25</v>
      </c>
      <c r="P38" s="50">
        <f t="shared" si="45"/>
        <v>1905289.75</v>
      </c>
      <c r="Q38" s="50">
        <f t="shared" si="45"/>
        <v>5851627.666666667</v>
      </c>
      <c r="R38" s="50">
        <f t="shared" si="45"/>
        <v>0</v>
      </c>
      <c r="S38" s="50">
        <f t="shared" si="45"/>
        <v>29.166666666666664</v>
      </c>
      <c r="T38" s="50">
        <f t="shared" si="45"/>
        <v>291666.66666666663</v>
      </c>
      <c r="U38" s="50">
        <f t="shared" si="45"/>
        <v>400750.00000000006</v>
      </c>
      <c r="V38" s="50">
        <f t="shared" si="45"/>
        <v>692416.66666666674</v>
      </c>
      <c r="W38" s="50">
        <f t="shared" si="45"/>
        <v>126581.25137755566</v>
      </c>
      <c r="X38" s="50">
        <f t="shared" si="45"/>
        <v>0</v>
      </c>
      <c r="Y38" s="50">
        <f t="shared" si="45"/>
        <v>270</v>
      </c>
      <c r="Z38" s="50">
        <f t="shared" si="45"/>
        <v>311</v>
      </c>
      <c r="AA38" s="50">
        <f t="shared" si="45"/>
        <v>1100000</v>
      </c>
      <c r="AB38" s="50">
        <f t="shared" si="45"/>
        <v>1744166.666666667</v>
      </c>
      <c r="AC38" s="50">
        <f t="shared" si="45"/>
        <v>-15000</v>
      </c>
      <c r="AD38" s="50">
        <f t="shared" si="45"/>
        <v>1207223.333333333</v>
      </c>
      <c r="AE38" s="50">
        <f t="shared" si="45"/>
        <v>1932341.8333333335</v>
      </c>
      <c r="AF38" s="50">
        <f t="shared" si="45"/>
        <v>5983731.833333333</v>
      </c>
    </row>
    <row r="39" spans="1:68" hidden="1"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>
        <v>545250</v>
      </c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</row>
    <row r="40" spans="1:68" hidden="1">
      <c r="D40" s="122" t="s">
        <v>74</v>
      </c>
      <c r="E40" s="123"/>
      <c r="F40" s="123"/>
      <c r="G40" s="123"/>
      <c r="H40" s="124"/>
      <c r="I40" s="124"/>
      <c r="J40" s="125"/>
      <c r="K40" s="126"/>
      <c r="L40" s="124"/>
      <c r="M40" s="124"/>
      <c r="N40" s="127"/>
      <c r="O40" s="123"/>
      <c r="P40" s="123"/>
      <c r="Q40" s="128"/>
      <c r="S40" s="4">
        <f>S39/1500</f>
        <v>363.5</v>
      </c>
      <c r="AA40" s="4"/>
      <c r="AB40" s="4"/>
      <c r="AC40" s="3"/>
      <c r="AF40" s="5"/>
    </row>
    <row r="41" spans="1:68" hidden="1">
      <c r="D41" s="97" t="s">
        <v>34</v>
      </c>
      <c r="E41" s="129">
        <f t="shared" ref="E41:G49" si="46">SUMIF($D$5:$D$35,$D41,E$5:E$35)</f>
        <v>825897.11699999997</v>
      </c>
      <c r="F41" s="63">
        <f t="shared" si="46"/>
        <v>37</v>
      </c>
      <c r="G41" s="63">
        <f t="shared" si="46"/>
        <v>37</v>
      </c>
      <c r="H41" s="63"/>
      <c r="I41" s="63"/>
      <c r="J41" s="97">
        <f t="shared" ref="J41:M42" si="47">SUMIF($D$5:$D$35,$D41,J$5:J$35)</f>
        <v>37</v>
      </c>
      <c r="K41" s="95">
        <f t="shared" si="47"/>
        <v>49</v>
      </c>
      <c r="L41" s="129">
        <f t="shared" si="47"/>
        <v>154166.66666666669</v>
      </c>
      <c r="M41" s="129">
        <f t="shared" si="47"/>
        <v>305833.33333333337</v>
      </c>
      <c r="N41" s="130"/>
      <c r="O41" s="129">
        <f t="shared" ref="O41:Q42" si="48">SUMIF($D$5:$D$35,$D41,O$5:O$35)</f>
        <v>210052.08333333334</v>
      </c>
      <c r="P41" s="129">
        <f t="shared" si="48"/>
        <v>389447.91666666663</v>
      </c>
      <c r="Q41" s="130">
        <f t="shared" si="48"/>
        <v>1059500</v>
      </c>
      <c r="S41" s="131"/>
      <c r="Y41">
        <f t="shared" ref="Y41:AF49" si="49">SUMIF($D$5:$D$35,$D41,Y$5:Y$35)</f>
        <v>45</v>
      </c>
      <c r="Z41">
        <f t="shared" si="49"/>
        <v>48</v>
      </c>
      <c r="AA41" s="4">
        <f t="shared" si="49"/>
        <v>187500</v>
      </c>
      <c r="AB41" s="4">
        <f t="shared" si="49"/>
        <v>280000</v>
      </c>
      <c r="AC41" s="5">
        <f t="shared" si="49"/>
        <v>68125</v>
      </c>
      <c r="AD41" s="4">
        <f t="shared" si="49"/>
        <v>255468.75</v>
      </c>
      <c r="AE41" s="4">
        <f t="shared" si="49"/>
        <v>381500</v>
      </c>
      <c r="AF41" s="5">
        <f t="shared" si="49"/>
        <v>1104468.75</v>
      </c>
    </row>
    <row r="42" spans="1:68" hidden="1">
      <c r="D42" s="97" t="s">
        <v>41</v>
      </c>
      <c r="E42" s="129">
        <f t="shared" si="46"/>
        <v>265502</v>
      </c>
      <c r="F42" s="63">
        <f t="shared" si="46"/>
        <v>12</v>
      </c>
      <c r="G42" s="63">
        <f t="shared" si="46"/>
        <v>12</v>
      </c>
      <c r="H42" s="63"/>
      <c r="I42" s="63"/>
      <c r="J42" s="97">
        <f t="shared" si="47"/>
        <v>12</v>
      </c>
      <c r="K42" s="95">
        <f t="shared" si="47"/>
        <v>24</v>
      </c>
      <c r="L42" s="129">
        <f t="shared" si="47"/>
        <v>50000</v>
      </c>
      <c r="M42" s="129">
        <f t="shared" si="47"/>
        <v>140000</v>
      </c>
      <c r="N42" s="130"/>
      <c r="O42" s="129">
        <f t="shared" si="48"/>
        <v>68125</v>
      </c>
      <c r="P42" s="129">
        <f t="shared" si="48"/>
        <v>190750</v>
      </c>
      <c r="Q42" s="130">
        <f t="shared" si="48"/>
        <v>448875</v>
      </c>
      <c r="Y42">
        <f t="shared" si="49"/>
        <v>21</v>
      </c>
      <c r="Z42">
        <f t="shared" si="49"/>
        <v>24</v>
      </c>
      <c r="AA42" s="4">
        <f t="shared" si="49"/>
        <v>87500</v>
      </c>
      <c r="AB42" s="4">
        <f t="shared" si="49"/>
        <v>140000</v>
      </c>
      <c r="AC42" s="5">
        <f t="shared" si="49"/>
        <v>40875</v>
      </c>
      <c r="AD42" s="4">
        <f t="shared" si="49"/>
        <v>119218.75</v>
      </c>
      <c r="AE42" s="4">
        <f t="shared" si="49"/>
        <v>190750</v>
      </c>
      <c r="AF42" s="5">
        <f t="shared" si="49"/>
        <v>537468.75</v>
      </c>
    </row>
    <row r="43" spans="1:68" hidden="1">
      <c r="D43" s="97" t="s">
        <v>53</v>
      </c>
      <c r="E43" s="129">
        <f t="shared" si="46"/>
        <v>1119134.3999099999</v>
      </c>
      <c r="F43" s="63">
        <f t="shared" si="46"/>
        <v>92</v>
      </c>
      <c r="G43" s="63">
        <f t="shared" si="46"/>
        <v>92</v>
      </c>
      <c r="H43" s="63"/>
      <c r="I43" s="63"/>
      <c r="J43" s="97">
        <f>SUMIF($D$5:$D$35,$D43,J$5:J$35)+J28</f>
        <v>92</v>
      </c>
      <c r="K43" s="95">
        <f>SUMIF($D$5:$D$35,$D43,K$5:K$35)+K28</f>
        <v>93</v>
      </c>
      <c r="L43" s="129">
        <f>SUMIF($D$5:$D$35,$D43,L$5:L$35)+L28</f>
        <v>383333.33333333337</v>
      </c>
      <c r="M43" s="129">
        <f>SUMIF($D$5:$D$35,$D43,M$5:M$35)+M28</f>
        <v>562500</v>
      </c>
      <c r="N43" s="130"/>
      <c r="O43" s="129">
        <f>SUMIF($D$5:$D$35,$D43,O$5:O$35)+O28</f>
        <v>134166.66666666666</v>
      </c>
      <c r="P43" s="129">
        <f>SUMIF($D$5:$D$35,$D43,P$5:P$35)+P28</f>
        <v>193375</v>
      </c>
      <c r="Q43" s="130">
        <f>SUMIF($D$5:$D$35,$D43,Q$5:Q$35)+Q28</f>
        <v>1273375</v>
      </c>
      <c r="Y43">
        <f t="shared" si="49"/>
        <v>83</v>
      </c>
      <c r="Z43">
        <f t="shared" si="49"/>
        <v>89</v>
      </c>
      <c r="AA43" s="4">
        <f t="shared" si="49"/>
        <v>320833.33333333337</v>
      </c>
      <c r="AB43" s="4">
        <f t="shared" si="49"/>
        <v>449166.66666666674</v>
      </c>
      <c r="AC43" s="5">
        <f t="shared" si="49"/>
        <v>14000</v>
      </c>
      <c r="AD43" s="4">
        <f t="shared" si="49"/>
        <v>112291.66666666666</v>
      </c>
      <c r="AE43" s="4">
        <f t="shared" si="49"/>
        <v>157208.33333333334</v>
      </c>
      <c r="AF43" s="5">
        <f t="shared" si="49"/>
        <v>1039500</v>
      </c>
    </row>
    <row r="44" spans="1:68" hidden="1">
      <c r="D44" s="97" t="s">
        <v>44</v>
      </c>
      <c r="E44" s="129">
        <f t="shared" si="46"/>
        <v>746993</v>
      </c>
      <c r="F44" s="63">
        <f t="shared" si="46"/>
        <v>28</v>
      </c>
      <c r="G44" s="63">
        <f t="shared" si="46"/>
        <v>28</v>
      </c>
      <c r="H44" s="63"/>
      <c r="I44" s="63"/>
      <c r="J44" s="97">
        <f>SUMIF($D$5:$D$35,$D44,J$5:J$35)+J33</f>
        <v>28</v>
      </c>
      <c r="K44" s="95">
        <f>SUMIF($D$5:$D$35,$D44,K$5:K$35)+K33</f>
        <v>36</v>
      </c>
      <c r="L44" s="129">
        <f>SUMIF($D$5:$D$35,$D44,L$5:L$35)+L33</f>
        <v>116666.66666666667</v>
      </c>
      <c r="M44" s="129">
        <f>SUMIF($D$5:$D$35,$D44,M$5:M$35)+M33</f>
        <v>230000</v>
      </c>
      <c r="N44" s="130"/>
      <c r="O44" s="129">
        <f>SUMIF($D$5:$D$35,$D44,O$5:O$35)+O33</f>
        <v>175000</v>
      </c>
      <c r="P44" s="129">
        <f>SUMIF($D$5:$D$35,$D44,P$5:P$35)+P33</f>
        <v>325500</v>
      </c>
      <c r="Q44" s="130">
        <f>SUMIF($D$5:$D$35,$D44,Q$5:Q$35)+Q33</f>
        <v>847166.66666666674</v>
      </c>
      <c r="Y44">
        <f t="shared" si="49"/>
        <v>24</v>
      </c>
      <c r="Z44">
        <f t="shared" si="49"/>
        <v>42</v>
      </c>
      <c r="AA44" s="4">
        <f t="shared" si="49"/>
        <v>100000</v>
      </c>
      <c r="AB44" s="4">
        <f t="shared" si="49"/>
        <v>245000</v>
      </c>
      <c r="AC44" s="5">
        <f t="shared" si="49"/>
        <v>76500</v>
      </c>
      <c r="AD44" s="4">
        <f t="shared" si="49"/>
        <v>150000</v>
      </c>
      <c r="AE44" s="4">
        <f t="shared" si="49"/>
        <v>367500</v>
      </c>
      <c r="AF44" s="5">
        <f t="shared" si="49"/>
        <v>862500</v>
      </c>
    </row>
    <row r="45" spans="1:68" hidden="1">
      <c r="D45" s="97" t="s">
        <v>47</v>
      </c>
      <c r="E45" s="129">
        <f t="shared" si="46"/>
        <v>750000.01373800007</v>
      </c>
      <c r="F45" s="63">
        <f t="shared" si="46"/>
        <v>32</v>
      </c>
      <c r="G45" s="63">
        <f t="shared" si="46"/>
        <v>30</v>
      </c>
      <c r="H45" s="63"/>
      <c r="I45" s="63"/>
      <c r="J45" s="97">
        <f t="shared" ref="J45:M49" si="50">SUMIF($D$5:$D$35,$D45,J$5:J$35)</f>
        <v>30</v>
      </c>
      <c r="K45" s="95">
        <f t="shared" si="50"/>
        <v>36</v>
      </c>
      <c r="L45" s="129">
        <f t="shared" si="50"/>
        <v>125000</v>
      </c>
      <c r="M45" s="129">
        <f t="shared" si="50"/>
        <v>210000.00000000003</v>
      </c>
      <c r="N45" s="130"/>
      <c r="O45" s="129">
        <f t="shared" ref="O45:Q49" si="51">SUMIF($D$5:$D$35,$D45,O$5:O$35)</f>
        <v>143750</v>
      </c>
      <c r="P45" s="129">
        <f t="shared" si="51"/>
        <v>241500.00000000003</v>
      </c>
      <c r="Q45" s="130">
        <f t="shared" si="51"/>
        <v>720250</v>
      </c>
      <c r="Y45">
        <f t="shared" si="49"/>
        <v>36</v>
      </c>
      <c r="Z45">
        <f t="shared" si="49"/>
        <v>38</v>
      </c>
      <c r="AA45" s="4">
        <f t="shared" si="49"/>
        <v>150000</v>
      </c>
      <c r="AB45" s="4">
        <f t="shared" si="49"/>
        <v>221666.66666666669</v>
      </c>
      <c r="AC45" s="5">
        <f t="shared" si="49"/>
        <v>46000</v>
      </c>
      <c r="AD45" s="4">
        <f t="shared" si="49"/>
        <v>172500</v>
      </c>
      <c r="AE45" s="4">
        <f t="shared" si="49"/>
        <v>254916.66666666669</v>
      </c>
      <c r="AF45" s="5">
        <f t="shared" si="49"/>
        <v>799083.33333333337</v>
      </c>
    </row>
    <row r="46" spans="1:68" hidden="1">
      <c r="D46" s="97" t="s">
        <v>58</v>
      </c>
      <c r="E46" s="129">
        <f t="shared" si="46"/>
        <v>324086</v>
      </c>
      <c r="F46" s="63">
        <f t="shared" si="46"/>
        <v>32</v>
      </c>
      <c r="G46" s="63">
        <f t="shared" si="46"/>
        <v>16</v>
      </c>
      <c r="H46" s="63"/>
      <c r="I46" s="63"/>
      <c r="J46" s="97">
        <f t="shared" si="50"/>
        <v>16</v>
      </c>
      <c r="K46" s="95">
        <f t="shared" si="50"/>
        <v>16</v>
      </c>
      <c r="L46" s="129">
        <f t="shared" si="50"/>
        <v>66666.666666666672</v>
      </c>
      <c r="M46" s="129">
        <f t="shared" si="50"/>
        <v>93333.333333333343</v>
      </c>
      <c r="N46" s="130"/>
      <c r="O46" s="129">
        <f t="shared" si="51"/>
        <v>78369.166666666672</v>
      </c>
      <c r="P46" s="129">
        <f t="shared" si="51"/>
        <v>109716.83333333334</v>
      </c>
      <c r="Q46" s="130">
        <f t="shared" si="51"/>
        <v>348086</v>
      </c>
      <c r="Y46">
        <f t="shared" si="49"/>
        <v>16</v>
      </c>
      <c r="Z46">
        <f t="shared" si="49"/>
        <v>16</v>
      </c>
      <c r="AA46" s="4">
        <f t="shared" si="49"/>
        <v>66666.666666666672</v>
      </c>
      <c r="AB46" s="4">
        <f t="shared" si="49"/>
        <v>93333.333333333343</v>
      </c>
      <c r="AC46" s="5">
        <f t="shared" si="49"/>
        <v>23510.75</v>
      </c>
      <c r="AD46" s="4">
        <f t="shared" si="49"/>
        <v>78369.166666666672</v>
      </c>
      <c r="AE46" s="4">
        <f t="shared" si="49"/>
        <v>109716.83333333334</v>
      </c>
      <c r="AF46" s="5">
        <f t="shared" si="49"/>
        <v>348086</v>
      </c>
    </row>
    <row r="47" spans="1:68" hidden="1">
      <c r="D47" s="97" t="s">
        <v>61</v>
      </c>
      <c r="E47" s="129">
        <f t="shared" si="46"/>
        <v>386017.21797444444</v>
      </c>
      <c r="F47" s="63">
        <f t="shared" si="46"/>
        <v>27</v>
      </c>
      <c r="G47" s="63">
        <f t="shared" si="46"/>
        <v>27</v>
      </c>
      <c r="H47" s="63"/>
      <c r="I47" s="63"/>
      <c r="J47" s="97">
        <f t="shared" si="50"/>
        <v>27</v>
      </c>
      <c r="K47" s="95">
        <f t="shared" si="50"/>
        <v>36</v>
      </c>
      <c r="L47" s="129">
        <f t="shared" si="50"/>
        <v>112500</v>
      </c>
      <c r="M47" s="129">
        <f t="shared" si="50"/>
        <v>210000</v>
      </c>
      <c r="N47" s="130"/>
      <c r="O47" s="129">
        <f t="shared" si="51"/>
        <v>50625</v>
      </c>
      <c r="P47" s="129">
        <f t="shared" si="51"/>
        <v>94500</v>
      </c>
      <c r="Q47" s="130">
        <f t="shared" si="51"/>
        <v>467625</v>
      </c>
      <c r="Y47">
        <f t="shared" si="49"/>
        <v>33</v>
      </c>
      <c r="Z47">
        <f t="shared" si="49"/>
        <v>42</v>
      </c>
      <c r="AA47" s="4">
        <f t="shared" si="49"/>
        <v>137500</v>
      </c>
      <c r="AB47" s="4">
        <f t="shared" si="49"/>
        <v>245000.00000000003</v>
      </c>
      <c r="AC47" s="5">
        <f t="shared" si="49"/>
        <v>13500</v>
      </c>
      <c r="AD47" s="4">
        <f t="shared" si="49"/>
        <v>61875</v>
      </c>
      <c r="AE47" s="4">
        <f t="shared" si="49"/>
        <v>110250</v>
      </c>
      <c r="AF47" s="5">
        <f t="shared" si="49"/>
        <v>554625</v>
      </c>
    </row>
    <row r="48" spans="1:68" hidden="1">
      <c r="D48" s="97" t="s">
        <v>51</v>
      </c>
      <c r="E48" s="129">
        <f t="shared" si="46"/>
        <v>615000</v>
      </c>
      <c r="F48" s="63">
        <f t="shared" si="46"/>
        <v>10</v>
      </c>
      <c r="G48" s="63">
        <f t="shared" si="46"/>
        <v>10</v>
      </c>
      <c r="H48" s="63"/>
      <c r="I48" s="63"/>
      <c r="J48" s="97">
        <f t="shared" si="50"/>
        <v>10</v>
      </c>
      <c r="K48" s="95">
        <f t="shared" si="50"/>
        <v>12</v>
      </c>
      <c r="L48" s="129">
        <f t="shared" si="50"/>
        <v>41666.666666666672</v>
      </c>
      <c r="M48" s="129">
        <f t="shared" si="50"/>
        <v>70000</v>
      </c>
      <c r="N48" s="130"/>
      <c r="O48" s="129">
        <f t="shared" si="51"/>
        <v>214583.33333333331</v>
      </c>
      <c r="P48" s="129">
        <f t="shared" si="51"/>
        <v>360500</v>
      </c>
      <c r="Q48" s="130">
        <f t="shared" si="51"/>
        <v>686750</v>
      </c>
      <c r="Y48">
        <f t="shared" si="49"/>
        <v>12</v>
      </c>
      <c r="Z48">
        <f t="shared" si="49"/>
        <v>12</v>
      </c>
      <c r="AA48" s="4">
        <f t="shared" si="49"/>
        <v>50000</v>
      </c>
      <c r="AB48" s="4">
        <f t="shared" si="49"/>
        <v>70000</v>
      </c>
      <c r="AC48" s="5">
        <f t="shared" si="49"/>
        <v>51500</v>
      </c>
      <c r="AD48" s="4">
        <f t="shared" si="49"/>
        <v>257500</v>
      </c>
      <c r="AE48" s="4">
        <f t="shared" si="49"/>
        <v>360500</v>
      </c>
      <c r="AF48" s="5">
        <f t="shared" si="49"/>
        <v>738000</v>
      </c>
    </row>
    <row r="49" spans="2:32" hidden="1">
      <c r="D49" s="97" t="s">
        <v>72</v>
      </c>
      <c r="E49" s="129">
        <f t="shared" si="46"/>
        <v>0</v>
      </c>
      <c r="F49" s="63">
        <f t="shared" si="46"/>
        <v>0</v>
      </c>
      <c r="G49" s="63">
        <f t="shared" si="46"/>
        <v>0</v>
      </c>
      <c r="H49" s="63"/>
      <c r="I49" s="63"/>
      <c r="J49" s="97">
        <f t="shared" si="50"/>
        <v>0</v>
      </c>
      <c r="K49" s="95">
        <f t="shared" si="50"/>
        <v>35</v>
      </c>
      <c r="L49" s="129">
        <f t="shared" si="50"/>
        <v>0</v>
      </c>
      <c r="M49" s="129">
        <f t="shared" si="50"/>
        <v>262500</v>
      </c>
      <c r="N49" s="130"/>
      <c r="O49" s="129">
        <f t="shared" si="51"/>
        <v>0</v>
      </c>
      <c r="P49" s="129">
        <f t="shared" si="51"/>
        <v>306250</v>
      </c>
      <c r="Q49" s="130">
        <f t="shared" si="51"/>
        <v>568750</v>
      </c>
      <c r="Y49">
        <f t="shared" si="49"/>
        <v>0</v>
      </c>
      <c r="Z49">
        <f t="shared" si="49"/>
        <v>0</v>
      </c>
      <c r="AA49" s="4">
        <f t="shared" si="49"/>
        <v>0</v>
      </c>
      <c r="AB49" s="4">
        <f t="shared" si="49"/>
        <v>0</v>
      </c>
      <c r="AC49" s="5">
        <f t="shared" si="49"/>
        <v>15000</v>
      </c>
      <c r="AD49" s="4">
        <f t="shared" si="49"/>
        <v>0</v>
      </c>
      <c r="AE49" s="4">
        <f t="shared" si="49"/>
        <v>0</v>
      </c>
      <c r="AF49" s="5">
        <f t="shared" si="49"/>
        <v>0</v>
      </c>
    </row>
    <row r="50" spans="2:32" hidden="1">
      <c r="D50" s="97"/>
      <c r="E50" s="63"/>
      <c r="F50" s="63"/>
      <c r="G50" s="63"/>
      <c r="H50" s="129"/>
      <c r="I50" s="129"/>
      <c r="J50" s="97"/>
      <c r="K50" s="95"/>
      <c r="L50" s="129"/>
      <c r="M50" s="129"/>
      <c r="N50" s="132"/>
      <c r="O50" s="63"/>
      <c r="P50" s="63"/>
      <c r="Q50" s="130"/>
      <c r="AA50" s="4"/>
      <c r="AB50" s="4"/>
      <c r="AC50" s="3"/>
      <c r="AF50" s="5"/>
    </row>
    <row r="51" spans="2:32" hidden="1">
      <c r="D51" s="120"/>
      <c r="E51" s="133"/>
      <c r="F51" s="108">
        <f>SUM(F41:F50)</f>
        <v>270</v>
      </c>
      <c r="G51" s="108">
        <f>SUM(G41:G50)</f>
        <v>252</v>
      </c>
      <c r="H51" s="109"/>
      <c r="I51" s="134"/>
      <c r="J51" s="110">
        <f t="shared" ref="J51:Q51" si="52">SUM(J41:J50)</f>
        <v>252</v>
      </c>
      <c r="K51" s="111">
        <f t="shared" si="52"/>
        <v>337</v>
      </c>
      <c r="L51" s="115">
        <f t="shared" si="52"/>
        <v>1050000</v>
      </c>
      <c r="M51" s="115">
        <f t="shared" si="52"/>
        <v>2084166.6666666667</v>
      </c>
      <c r="N51" s="114"/>
      <c r="O51" s="113">
        <f t="shared" si="52"/>
        <v>1074671.25</v>
      </c>
      <c r="P51" s="115">
        <f t="shared" si="52"/>
        <v>2211539.75</v>
      </c>
      <c r="Q51" s="114">
        <f t="shared" si="52"/>
        <v>6420377.666666667</v>
      </c>
      <c r="Y51" s="118">
        <f>SUM(Y41:Y50)</f>
        <v>270</v>
      </c>
      <c r="Z51" s="118">
        <f>SUM(Z41:Z50)</f>
        <v>311</v>
      </c>
      <c r="AA51" s="119">
        <f>SUM(AA41:AA50)</f>
        <v>1100000</v>
      </c>
      <c r="AB51" s="119">
        <f>SUM(AB41:AB50)</f>
        <v>1744166.6666666667</v>
      </c>
      <c r="AC51" s="119"/>
      <c r="AD51" s="119">
        <f>SUM(AD41:AD50)</f>
        <v>1207223.3333333333</v>
      </c>
      <c r="AE51" s="119">
        <f>SUM(AE41:AE50)</f>
        <v>1932341.8333333335</v>
      </c>
      <c r="AF51" s="119">
        <f>SUM(AF41:AF50)</f>
        <v>5983731.833333333</v>
      </c>
    </row>
    <row r="52" spans="2:32" hidden="1">
      <c r="I52" s="4"/>
    </row>
    <row r="53" spans="2:32" hidden="1">
      <c r="C53" s="3" t="s">
        <v>33</v>
      </c>
      <c r="E53" s="5">
        <f>SUMIF($C$5:$C$35,$C53,$E$5:$E$35)</f>
        <v>2863461.5608070004</v>
      </c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135">
        <f>SUMIF($C$5:$C$35,$C53,$Q$5:$Q$35)</f>
        <v>3404211</v>
      </c>
    </row>
    <row r="54" spans="2:32" hidden="1">
      <c r="C54" s="3" t="s">
        <v>40</v>
      </c>
      <c r="E54" s="5">
        <f>SUMIF($C$5:$C$35,$C54,$E$5:$E$35)</f>
        <v>1554168.1878154445</v>
      </c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135">
        <f>SUMIF($C$5:$C$35,$C54,$Q$5:$Q$35)</f>
        <v>1760666.6666666667</v>
      </c>
    </row>
    <row r="55" spans="2:32" ht="16" hidden="1" thickBot="1">
      <c r="C55" s="3" t="s">
        <v>75</v>
      </c>
      <c r="E55" s="5">
        <f>E18</f>
        <v>615000</v>
      </c>
      <c r="F55" s="5"/>
      <c r="G55" s="5"/>
      <c r="H55" s="5"/>
      <c r="I55" s="5"/>
      <c r="J55" s="5"/>
      <c r="K55" s="5"/>
      <c r="L55" s="5"/>
      <c r="M55" s="5"/>
      <c r="N55" s="5"/>
      <c r="O55" s="5"/>
      <c r="P55" s="136">
        <f>SUM(Q53:Q55)</f>
        <v>5851627.666666667</v>
      </c>
      <c r="Q55" s="135">
        <f>Q18</f>
        <v>686750</v>
      </c>
    </row>
    <row r="56" spans="2:32" hidden="1">
      <c r="C56" s="3" t="s">
        <v>76</v>
      </c>
      <c r="D56" t="s">
        <v>77</v>
      </c>
      <c r="E56" s="5">
        <f>E35</f>
        <v>0</v>
      </c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>
        <f>Q35</f>
        <v>568750</v>
      </c>
    </row>
    <row r="57" spans="2:32" hidden="1">
      <c r="F57" s="5"/>
      <c r="G57" s="5"/>
      <c r="H57" s="5"/>
      <c r="I57" s="5"/>
      <c r="J57" s="5"/>
      <c r="K57" s="5"/>
      <c r="L57" s="5"/>
      <c r="Q57" s="128">
        <f>SUM(Q53:Q56)</f>
        <v>6420377.666666667</v>
      </c>
    </row>
    <row r="58" spans="2:32">
      <c r="I58" s="137" t="s">
        <v>78</v>
      </c>
      <c r="J58">
        <f>J35+J18+J12+J11</f>
        <v>38</v>
      </c>
      <c r="K58">
        <f>K35+K18+K12+K11</f>
        <v>71</v>
      </c>
    </row>
    <row r="59" spans="2:32">
      <c r="B59" s="3" t="s">
        <v>103</v>
      </c>
      <c r="I59" s="4" t="s">
        <v>79</v>
      </c>
      <c r="J59">
        <f>J51-J58</f>
        <v>214</v>
      </c>
      <c r="K59">
        <f>K51-K58</f>
        <v>266</v>
      </c>
    </row>
    <row r="60" spans="2:32">
      <c r="B60" s="3" t="s">
        <v>122</v>
      </c>
      <c r="I60" s="4">
        <v>1500</v>
      </c>
      <c r="J60">
        <f>1500/12*5</f>
        <v>625</v>
      </c>
      <c r="K60">
        <f>1500/12*7</f>
        <v>875</v>
      </c>
    </row>
    <row r="61" spans="2:32">
      <c r="I61" s="138" t="s">
        <v>80</v>
      </c>
      <c r="J61" s="4">
        <f>J60*J59</f>
        <v>133750</v>
      </c>
      <c r="K61" s="4">
        <f>K60*K59</f>
        <v>232750</v>
      </c>
      <c r="L61" s="128">
        <f>K61+J61</f>
        <v>366500</v>
      </c>
    </row>
    <row r="62" spans="2:32">
      <c r="B62" s="3" t="str">
        <f ca="1">CELL("filename")</f>
        <v/>
      </c>
      <c r="I62" s="137"/>
    </row>
    <row r="63" spans="2:32">
      <c r="J63">
        <f>SUM(J5:J27)-J58</f>
        <v>214</v>
      </c>
      <c r="K63">
        <f>SUM(K5:K27)-K58</f>
        <v>195</v>
      </c>
    </row>
    <row r="64" spans="2:32">
      <c r="J64">
        <f>1500/12*5</f>
        <v>625</v>
      </c>
      <c r="K64">
        <f>1500/12*7</f>
        <v>875</v>
      </c>
    </row>
    <row r="65" spans="9:12">
      <c r="I65" s="138" t="s">
        <v>81</v>
      </c>
      <c r="J65">
        <f>J64*J63</f>
        <v>133750</v>
      </c>
      <c r="K65">
        <f>K64*K63</f>
        <v>170625</v>
      </c>
      <c r="L65" s="128">
        <f>K65+J65</f>
        <v>304375</v>
      </c>
    </row>
    <row r="67" spans="9:12">
      <c r="J67">
        <f>SUMIF($C$5:$C$27,"Primary",J5:J27)-J11-J12</f>
        <v>112</v>
      </c>
      <c r="K67">
        <f>SUMIF($C$5:$C$27,"Primary",K5:K27)-K11-K12</f>
        <v>121</v>
      </c>
    </row>
    <row r="68" spans="9:12">
      <c r="J68">
        <v>625</v>
      </c>
      <c r="K68">
        <v>875</v>
      </c>
    </row>
    <row r="69" spans="9:12">
      <c r="I69" s="138" t="s">
        <v>82</v>
      </c>
      <c r="J69">
        <f>J68*J67</f>
        <v>70000</v>
      </c>
      <c r="K69">
        <f>K68*K67</f>
        <v>105875</v>
      </c>
      <c r="L69" s="128">
        <f>K69+J69</f>
        <v>175875</v>
      </c>
    </row>
    <row r="73" spans="9:12">
      <c r="J73">
        <f>J58</f>
        <v>38</v>
      </c>
      <c r="K73">
        <f>K58</f>
        <v>71</v>
      </c>
    </row>
    <row r="74" spans="9:12">
      <c r="J74">
        <f>J59</f>
        <v>214</v>
      </c>
      <c r="K74">
        <f>K59</f>
        <v>266</v>
      </c>
    </row>
    <row r="75" spans="9:12">
      <c r="J75" s="4">
        <f>1000/12*5</f>
        <v>416.66666666666663</v>
      </c>
      <c r="K75" s="4">
        <f>1000/12*7</f>
        <v>583.33333333333326</v>
      </c>
    </row>
    <row r="76" spans="9:12">
      <c r="I76" s="140" t="s">
        <v>83</v>
      </c>
      <c r="J76" s="4">
        <f>J75*J74</f>
        <v>89166.666666666657</v>
      </c>
      <c r="K76" s="4">
        <f>K75*K74</f>
        <v>155166.66666666666</v>
      </c>
      <c r="L76" s="128">
        <f>SUM(J76:K76)</f>
        <v>244333.33333333331</v>
      </c>
    </row>
    <row r="78" spans="9:12">
      <c r="J78">
        <f>J63</f>
        <v>214</v>
      </c>
      <c r="K78">
        <f>K63</f>
        <v>195</v>
      </c>
    </row>
    <row r="79" spans="9:12">
      <c r="J79" s="50">
        <f>J75</f>
        <v>416.66666666666663</v>
      </c>
      <c r="K79" s="50">
        <f>K75</f>
        <v>583.33333333333326</v>
      </c>
    </row>
    <row r="80" spans="9:12">
      <c r="I80" s="138" t="s">
        <v>84</v>
      </c>
      <c r="J80" s="4">
        <f>J79*J78</f>
        <v>89166.666666666657</v>
      </c>
      <c r="K80" s="4">
        <f>K79*K78</f>
        <v>113749.99999999999</v>
      </c>
      <c r="L80" s="128">
        <f>SUM(J80:K80)</f>
        <v>202916.66666666663</v>
      </c>
    </row>
    <row r="82" spans="9:12">
      <c r="J82">
        <f>J67</f>
        <v>112</v>
      </c>
      <c r="K82">
        <f>K67</f>
        <v>121</v>
      </c>
    </row>
    <row r="83" spans="9:12">
      <c r="J83" s="50">
        <f>J75</f>
        <v>416.66666666666663</v>
      </c>
      <c r="K83" s="50">
        <f>K75</f>
        <v>583.33333333333326</v>
      </c>
    </row>
    <row r="84" spans="9:12">
      <c r="I84" s="138" t="s">
        <v>85</v>
      </c>
      <c r="J84" s="4">
        <f>J83*J82</f>
        <v>46666.666666666664</v>
      </c>
      <c r="K84" s="4">
        <f>K83*K82</f>
        <v>70583.333333333328</v>
      </c>
      <c r="L84" s="128">
        <f>SUM(J84:K84)</f>
        <v>117250</v>
      </c>
    </row>
  </sheetData>
  <sheetProtection password="EE48" sheet="1" objects="1" scenarios="1"/>
  <autoFilter ref="A4:BR35"/>
  <mergeCells count="4">
    <mergeCell ref="G3:I3"/>
    <mergeCell ref="AR3:AW3"/>
    <mergeCell ref="AX3:BF3"/>
    <mergeCell ref="BG3:BO3"/>
  </mergeCells>
  <pageMargins left="0.31496062992125984" right="0.31496062992125984" top="0.47244094488188981" bottom="0.51181102362204722" header="0.31496062992125984" footer="0.15748031496062992"/>
  <pageSetup paperSize="9" scale="70" orientation="landscape" copies="2"/>
  <headerFooter>
    <oddFooter>&amp;C&amp;Z&amp;F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Planned Places Oct14</vt:lpstr>
      <vt:lpstr>'Planned Places Oct14'!Print_Area</vt:lpstr>
      <vt:lpstr>'Planned Places Oct14'!Print_Titles</vt:lpstr>
    </vt:vector>
  </TitlesOfParts>
  <Company>LBBD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gnicolini</dc:creator>
  <cp:lastModifiedBy>Microsoft Office User</cp:lastModifiedBy>
  <cp:lastPrinted>2015-01-06T16:02:58Z</cp:lastPrinted>
  <dcterms:created xsi:type="dcterms:W3CDTF">2013-11-20T10:46:17Z</dcterms:created>
  <dcterms:modified xsi:type="dcterms:W3CDTF">2018-10-10T17:02:47Z</dcterms:modified>
</cp:coreProperties>
</file>